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Bérczes Bea\Munka\BB\Dokumentumok\Word\Rendeletek\2019\"/>
    </mc:Choice>
  </mc:AlternateContent>
  <bookViews>
    <workbookView xWindow="0" yWindow="0" windowWidth="24000" windowHeight="9735" tabRatio="903"/>
  </bookViews>
  <sheets>
    <sheet name="Címrend" sheetId="1" r:id="rId1"/>
    <sheet name="1. Bevételek_kiadások_összesen" sheetId="2" r:id="rId2"/>
    <sheet name="2. Önk.bev." sheetId="3" r:id="rId3"/>
    <sheet name="3. Önk.kiad." sheetId="4" r:id="rId4"/>
    <sheet name="4. Int.bev." sheetId="5" r:id="rId5"/>
    <sheet name="5. Int.kiad." sheetId="6" r:id="rId6"/>
    <sheet name="6. Beruházás" sheetId="7" r:id="rId7"/>
    <sheet name="7. EU-s beruh." sheetId="8" r:id="rId8"/>
    <sheet name="8. Felújítás" sheetId="9" r:id="rId9"/>
    <sheet name="9. Mérleg" sheetId="10" r:id="rId10"/>
    <sheet name="10. Többéves" sheetId="11" r:id="rId11"/>
    <sheet name="11. Közvetett támogatások" sheetId="12" r:id="rId12"/>
    <sheet name="12. Hitel" sheetId="13" r:id="rId13"/>
    <sheet name="13. AKÜ" sheetId="14" r:id="rId14"/>
    <sheet name="14. AKÜ" sheetId="15" r:id="rId15"/>
    <sheet name="15. AKÜ" sheetId="16" r:id="rId16"/>
    <sheet name="16. Előir.felh.ütemt." sheetId="18" r:id="rId17"/>
  </sheets>
  <definedNames>
    <definedName name="_4__sz__sor_részletezése">#REF!</definedName>
    <definedName name="_xlnm.Print_Titles" localSheetId="10">'10. Többéves'!$4:$7</definedName>
    <definedName name="_xlnm.Print_Titles" localSheetId="3">'3. Önk.kiad.'!$1:$8</definedName>
    <definedName name="_xlnm.Print_Titles" localSheetId="6">'6. Beruházás'!$4:$6</definedName>
    <definedName name="_xlnm.Print_Titles" localSheetId="8">'8. Felújítás'!$5:$7</definedName>
    <definedName name="_xlnm.Print_Area" localSheetId="1">'1. Bevételek_kiadások_összesen'!$A$1:$C$153</definedName>
    <definedName name="_xlnm.Print_Area" localSheetId="10">'10. Többéves'!$A$1:$G$24</definedName>
    <definedName name="_xlnm.Print_Area" localSheetId="14">'14. AKÜ'!$A$1:$G$13</definedName>
    <definedName name="_xlnm.Print_Area" localSheetId="15">'15. AKÜ'!$A$1:$K$9</definedName>
    <definedName name="_xlnm.Print_Area" localSheetId="16">'16. Előir.felh.ütemt.'!$A$1:$N$28</definedName>
    <definedName name="_xlnm.Print_Area" localSheetId="2">'2. Önk.bev.'!$A$4:$R$47</definedName>
    <definedName name="_xlnm.Print_Area" localSheetId="3">'3. Önk.kiad.'!$A$1:$V$105</definedName>
    <definedName name="_xlnm.Print_Area" localSheetId="4">'4. Int.bev.'!$A$1:$R$31</definedName>
    <definedName name="_xlnm.Print_Area" localSheetId="5">'5. Int.kiad.'!$A$1:$V$19</definedName>
    <definedName name="_xlnm.Print_Area" localSheetId="6">'6. Beruházás'!$A$1:$N$37</definedName>
    <definedName name="_xlnm.Print_Area" localSheetId="7">'7. EU-s beruh.'!$A$1:$E$296</definedName>
    <definedName name="_xlnm.Print_Area" localSheetId="8">'8. Felújítás'!$A$1:$I$19</definedName>
    <definedName name="_xlnm.Print_Area" localSheetId="9">'9. Mérleg'!$A$1:$F$35</definedName>
  </definedNames>
  <calcPr calcId="152511"/>
</workbook>
</file>

<file path=xl/calcChain.xml><?xml version="1.0" encoding="utf-8"?>
<calcChain xmlns="http://schemas.openxmlformats.org/spreadsheetml/2006/main">
  <c r="I11" i="9" l="1"/>
  <c r="C14" i="12" l="1"/>
  <c r="F11" i="7" l="1"/>
  <c r="I11" i="7"/>
  <c r="C28" i="10"/>
  <c r="E8" i="9" l="1"/>
  <c r="H8" i="9" s="1"/>
  <c r="H11" i="9"/>
  <c r="E11" i="9"/>
  <c r="H12" i="9"/>
  <c r="E12" i="9"/>
  <c r="H10" i="9"/>
  <c r="I10" i="9" s="1"/>
  <c r="E10" i="9"/>
  <c r="E7" i="9"/>
  <c r="H7" i="9" s="1"/>
  <c r="H9" i="9"/>
  <c r="I9" i="9" s="1"/>
  <c r="E9" i="9"/>
  <c r="R100" i="4"/>
  <c r="V100" i="4" s="1"/>
  <c r="M41" i="3"/>
  <c r="R41" i="3" s="1"/>
  <c r="I12" i="9" l="1"/>
  <c r="I8" i="9"/>
  <c r="D296" i="8" l="1"/>
  <c r="D289" i="8"/>
  <c r="C289" i="8"/>
  <c r="B289" i="8"/>
  <c r="E285" i="8"/>
  <c r="E289" i="8" s="1"/>
  <c r="E284" i="8"/>
  <c r="E283" i="8"/>
  <c r="E282" i="8"/>
  <c r="D279" i="8"/>
  <c r="C279" i="8"/>
  <c r="B279" i="8"/>
  <c r="E278" i="8"/>
  <c r="E277" i="8"/>
  <c r="E276" i="8"/>
  <c r="E275" i="8"/>
  <c r="E274" i="8"/>
  <c r="E273" i="8"/>
  <c r="D267" i="8"/>
  <c r="D260" i="8"/>
  <c r="E259" i="8"/>
  <c r="E258" i="8"/>
  <c r="E257" i="8"/>
  <c r="E256" i="8"/>
  <c r="E255" i="8"/>
  <c r="E254" i="8"/>
  <c r="C253" i="8"/>
  <c r="C260" i="8" s="1"/>
  <c r="B253" i="8"/>
  <c r="E253" i="8" s="1"/>
  <c r="E260" i="8" s="1"/>
  <c r="D250" i="8"/>
  <c r="C250" i="8"/>
  <c r="B250" i="8"/>
  <c r="E249" i="8"/>
  <c r="E248" i="8"/>
  <c r="E247" i="8"/>
  <c r="E246" i="8"/>
  <c r="E245" i="8"/>
  <c r="E250" i="8" s="1"/>
  <c r="E244" i="8"/>
  <c r="D238" i="8"/>
  <c r="D231" i="8"/>
  <c r="C231" i="8"/>
  <c r="B231" i="8"/>
  <c r="E230" i="8"/>
  <c r="E229" i="8"/>
  <c r="E228" i="8"/>
  <c r="E226" i="8"/>
  <c r="E225" i="8"/>
  <c r="E224" i="8"/>
  <c r="D221" i="8"/>
  <c r="C221" i="8"/>
  <c r="B221" i="8"/>
  <c r="E220" i="8"/>
  <c r="E219" i="8"/>
  <c r="E218" i="8"/>
  <c r="E217" i="8"/>
  <c r="E216" i="8"/>
  <c r="E215" i="8"/>
  <c r="E221" i="8" s="1"/>
  <c r="D208" i="8"/>
  <c r="D201" i="8"/>
  <c r="C201" i="8"/>
  <c r="E200" i="8"/>
  <c r="E199" i="8"/>
  <c r="E198" i="8"/>
  <c r="E197" i="8"/>
  <c r="E196" i="8"/>
  <c r="E195" i="8"/>
  <c r="B194" i="8"/>
  <c r="B201" i="8" s="1"/>
  <c r="D191" i="8"/>
  <c r="C191" i="8"/>
  <c r="B191" i="8"/>
  <c r="E190" i="8"/>
  <c r="E189" i="8"/>
  <c r="E188" i="8"/>
  <c r="E187" i="8"/>
  <c r="E186" i="8"/>
  <c r="E185" i="8"/>
  <c r="D178" i="8"/>
  <c r="D171" i="8"/>
  <c r="C171" i="8"/>
  <c r="B171" i="8"/>
  <c r="E170" i="8"/>
  <c r="E169" i="8"/>
  <c r="E168" i="8"/>
  <c r="E167" i="8"/>
  <c r="E166" i="8"/>
  <c r="E165" i="8"/>
  <c r="E164" i="8"/>
  <c r="D161" i="8"/>
  <c r="C161" i="8"/>
  <c r="B161" i="8"/>
  <c r="E160" i="8"/>
  <c r="E159" i="8"/>
  <c r="E158" i="8"/>
  <c r="E157" i="8"/>
  <c r="E156" i="8"/>
  <c r="E155" i="8"/>
  <c r="E161" i="8" s="1"/>
  <c r="D149" i="8"/>
  <c r="D142" i="8"/>
  <c r="C142" i="8"/>
  <c r="E141" i="8"/>
  <c r="E140" i="8"/>
  <c r="E139" i="8"/>
  <c r="E138" i="8"/>
  <c r="E137" i="8"/>
  <c r="E136" i="8"/>
  <c r="B135" i="8"/>
  <c r="E135" i="8" s="1"/>
  <c r="E142" i="8" s="1"/>
  <c r="D132" i="8"/>
  <c r="C132" i="8"/>
  <c r="B132" i="8"/>
  <c r="E131" i="8"/>
  <c r="E130" i="8"/>
  <c r="E129" i="8"/>
  <c r="E128" i="8"/>
  <c r="E127" i="8"/>
  <c r="E126" i="8"/>
  <c r="E132" i="8" s="1"/>
  <c r="D119" i="8"/>
  <c r="D112" i="8"/>
  <c r="C112" i="8"/>
  <c r="E111" i="8"/>
  <c r="E110" i="8"/>
  <c r="E109" i="8"/>
  <c r="E108" i="8"/>
  <c r="E107" i="8"/>
  <c r="E106" i="8"/>
  <c r="B105" i="8"/>
  <c r="B112" i="8" s="1"/>
  <c r="D102" i="8"/>
  <c r="C102" i="8"/>
  <c r="B102" i="8"/>
  <c r="E101" i="8"/>
  <c r="E100" i="8"/>
  <c r="E99" i="8"/>
  <c r="E98" i="8"/>
  <c r="E97" i="8"/>
  <c r="E102" i="8" s="1"/>
  <c r="E96" i="8"/>
  <c r="D89" i="8"/>
  <c r="D82" i="8"/>
  <c r="C82" i="8"/>
  <c r="E81" i="8"/>
  <c r="E80" i="8"/>
  <c r="E79" i="8"/>
  <c r="E78" i="8"/>
  <c r="E77" i="8"/>
  <c r="E76" i="8"/>
  <c r="B75" i="8"/>
  <c r="E75" i="8" s="1"/>
  <c r="E82" i="8" s="1"/>
  <c r="D72" i="8"/>
  <c r="C72" i="8"/>
  <c r="B72" i="8"/>
  <c r="E71" i="8"/>
  <c r="E70" i="8"/>
  <c r="E69" i="8"/>
  <c r="E68" i="8"/>
  <c r="E67" i="8"/>
  <c r="E66" i="8"/>
  <c r="D59" i="8"/>
  <c r="D52" i="8"/>
  <c r="C52" i="8"/>
  <c r="B52" i="8"/>
  <c r="E51" i="8"/>
  <c r="E50" i="8"/>
  <c r="E49" i="8"/>
  <c r="E48" i="8"/>
  <c r="E47" i="8"/>
  <c r="E46" i="8"/>
  <c r="E45" i="8"/>
  <c r="E52" i="8" s="1"/>
  <c r="D42" i="8"/>
  <c r="C42" i="8"/>
  <c r="B42" i="8"/>
  <c r="E41" i="8"/>
  <c r="E40" i="8"/>
  <c r="E39" i="8"/>
  <c r="E38" i="8"/>
  <c r="E37" i="8"/>
  <c r="E36" i="8"/>
  <c r="D29" i="8"/>
  <c r="D22" i="8"/>
  <c r="C22" i="8"/>
  <c r="E21" i="8"/>
  <c r="E20" i="8"/>
  <c r="E19" i="8"/>
  <c r="E18" i="8"/>
  <c r="E17" i="8"/>
  <c r="E16" i="8"/>
  <c r="B15" i="8"/>
  <c r="B22" i="8" s="1"/>
  <c r="D12" i="8"/>
  <c r="C12" i="8"/>
  <c r="B12" i="8"/>
  <c r="E11" i="8"/>
  <c r="E10" i="8"/>
  <c r="E9" i="8"/>
  <c r="E8" i="8"/>
  <c r="E7" i="8"/>
  <c r="E6" i="8"/>
  <c r="L35" i="7"/>
  <c r="K35" i="7"/>
  <c r="F35" i="7"/>
  <c r="E35" i="7"/>
  <c r="I34" i="7"/>
  <c r="M34" i="7" s="1"/>
  <c r="N34" i="7" s="1"/>
  <c r="J31" i="7"/>
  <c r="I31" i="7"/>
  <c r="I35" i="7" s="1"/>
  <c r="G30" i="7"/>
  <c r="M30" i="7" s="1"/>
  <c r="N30" i="7" s="1"/>
  <c r="M29" i="7"/>
  <c r="N29" i="7" s="1"/>
  <c r="J27" i="7"/>
  <c r="M27" i="7" s="1"/>
  <c r="N27" i="7" s="1"/>
  <c r="J26" i="7"/>
  <c r="M26" i="7" s="1"/>
  <c r="N26" i="7" s="1"/>
  <c r="H25" i="7"/>
  <c r="H35" i="7" s="1"/>
  <c r="G25" i="7"/>
  <c r="G35" i="7" s="1"/>
  <c r="M24" i="7"/>
  <c r="N24" i="7" s="1"/>
  <c r="M23" i="7"/>
  <c r="N23" i="7" s="1"/>
  <c r="J22" i="7"/>
  <c r="J35" i="7" s="1"/>
  <c r="L18" i="7"/>
  <c r="L36" i="7" s="1"/>
  <c r="K18" i="7"/>
  <c r="K36" i="7" s="1"/>
  <c r="H18" i="7"/>
  <c r="H36" i="7" s="1"/>
  <c r="E18" i="7"/>
  <c r="J17" i="7"/>
  <c r="M17" i="7" s="1"/>
  <c r="N17" i="7" s="1"/>
  <c r="J16" i="7"/>
  <c r="I15" i="7"/>
  <c r="F15" i="7"/>
  <c r="M15" i="7" s="1"/>
  <c r="J14" i="7"/>
  <c r="M13" i="7"/>
  <c r="N13" i="7" s="1"/>
  <c r="F13" i="7"/>
  <c r="F12" i="7"/>
  <c r="M12" i="7" s="1"/>
  <c r="N12" i="7" s="1"/>
  <c r="I18" i="7"/>
  <c r="J10" i="7"/>
  <c r="G10" i="7"/>
  <c r="G18" i="7" s="1"/>
  <c r="J9" i="7"/>
  <c r="J18" i="7" s="1"/>
  <c r="J36" i="7" s="1"/>
  <c r="M8" i="7"/>
  <c r="N8" i="7" s="1"/>
  <c r="J8" i="7"/>
  <c r="N17" i="18"/>
  <c r="N18" i="18"/>
  <c r="N19" i="18"/>
  <c r="N20" i="18"/>
  <c r="N21" i="18"/>
  <c r="N22" i="18"/>
  <c r="N23" i="18"/>
  <c r="N24" i="18"/>
  <c r="N25" i="18"/>
  <c r="N26" i="18"/>
  <c r="N27" i="18"/>
  <c r="N16" i="18"/>
  <c r="N4" i="18"/>
  <c r="E14" i="18"/>
  <c r="E28" i="18" s="1"/>
  <c r="H14" i="18"/>
  <c r="H28" i="18" s="1"/>
  <c r="U50" i="4"/>
  <c r="U49" i="4"/>
  <c r="C38" i="2"/>
  <c r="Q64" i="3"/>
  <c r="Q66" i="3" s="1"/>
  <c r="H16" i="6"/>
  <c r="R16" i="6" s="1"/>
  <c r="V16" i="6" s="1"/>
  <c r="P31" i="5"/>
  <c r="F28" i="5"/>
  <c r="F31" i="5" s="1"/>
  <c r="R11" i="4"/>
  <c r="V11" i="4" s="1"/>
  <c r="R12" i="4"/>
  <c r="V12" i="4" s="1"/>
  <c r="R13" i="4"/>
  <c r="V13" i="4" s="1"/>
  <c r="R14" i="4"/>
  <c r="V14" i="4" s="1"/>
  <c r="R15" i="4"/>
  <c r="V15" i="4" s="1"/>
  <c r="R16" i="4"/>
  <c r="V16" i="4" s="1"/>
  <c r="R17" i="4"/>
  <c r="V17" i="4" s="1"/>
  <c r="R18" i="4"/>
  <c r="V18" i="4" s="1"/>
  <c r="R19" i="4"/>
  <c r="V19" i="4" s="1"/>
  <c r="R20" i="4"/>
  <c r="V20" i="4" s="1"/>
  <c r="R21" i="4"/>
  <c r="V21" i="4" s="1"/>
  <c r="R22" i="4"/>
  <c r="V22" i="4" s="1"/>
  <c r="R23" i="4"/>
  <c r="V23" i="4" s="1"/>
  <c r="R24" i="4"/>
  <c r="R25" i="4"/>
  <c r="R26" i="4"/>
  <c r="V26" i="4" s="1"/>
  <c r="R27" i="4"/>
  <c r="V27" i="4" s="1"/>
  <c r="R28" i="4"/>
  <c r="V28" i="4" s="1"/>
  <c r="R29" i="4"/>
  <c r="R30" i="4"/>
  <c r="V30" i="4" s="1"/>
  <c r="R31" i="4"/>
  <c r="V31" i="4" s="1"/>
  <c r="R32" i="4"/>
  <c r="V32" i="4" s="1"/>
  <c r="R34" i="4"/>
  <c r="V34" i="4" s="1"/>
  <c r="R35" i="4"/>
  <c r="V35" i="4" s="1"/>
  <c r="R36" i="4"/>
  <c r="V36" i="4" s="1"/>
  <c r="R37" i="4"/>
  <c r="V37" i="4" s="1"/>
  <c r="R38" i="4"/>
  <c r="R39" i="4"/>
  <c r="R40" i="4"/>
  <c r="V40" i="4" s="1"/>
  <c r="R41" i="4"/>
  <c r="R42" i="4"/>
  <c r="V42" i="4" s="1"/>
  <c r="R43" i="4"/>
  <c r="V43" i="4" s="1"/>
  <c r="R44" i="4"/>
  <c r="V44" i="4" s="1"/>
  <c r="R45" i="4"/>
  <c r="R46" i="4"/>
  <c r="R47" i="4"/>
  <c r="V47" i="4" s="1"/>
  <c r="R48" i="4"/>
  <c r="V48" i="4" s="1"/>
  <c r="R49" i="4"/>
  <c r="R50" i="4"/>
  <c r="R51" i="4"/>
  <c r="V51" i="4" s="1"/>
  <c r="R52" i="4"/>
  <c r="V52" i="4" s="1"/>
  <c r="R53" i="4"/>
  <c r="V53" i="4" s="1"/>
  <c r="R54" i="4"/>
  <c r="R55" i="4"/>
  <c r="R56" i="4"/>
  <c r="V56" i="4" s="1"/>
  <c r="R57" i="4"/>
  <c r="V57" i="4" s="1"/>
  <c r="R58" i="4"/>
  <c r="V58" i="4" s="1"/>
  <c r="R59" i="4"/>
  <c r="V59" i="4" s="1"/>
  <c r="R60" i="4"/>
  <c r="V60" i="4" s="1"/>
  <c r="R61" i="4"/>
  <c r="V61" i="4" s="1"/>
  <c r="R62" i="4"/>
  <c r="V62" i="4" s="1"/>
  <c r="R63" i="4"/>
  <c r="V63" i="4" s="1"/>
  <c r="R64" i="4"/>
  <c r="V64" i="4" s="1"/>
  <c r="R65" i="4"/>
  <c r="R66" i="4"/>
  <c r="R68" i="4"/>
  <c r="R69" i="4"/>
  <c r="R70" i="4"/>
  <c r="R71" i="4"/>
  <c r="R72" i="4"/>
  <c r="R73" i="4"/>
  <c r="R74" i="4"/>
  <c r="R76" i="4"/>
  <c r="R77" i="4"/>
  <c r="V77" i="4" s="1"/>
  <c r="R78" i="4"/>
  <c r="V78" i="4" s="1"/>
  <c r="R79" i="4"/>
  <c r="V79" i="4" s="1"/>
  <c r="R80" i="4"/>
  <c r="R81" i="4"/>
  <c r="V81" i="4" s="1"/>
  <c r="R84" i="4"/>
  <c r="V84" i="4" s="1"/>
  <c r="R85" i="4"/>
  <c r="V85" i="4" s="1"/>
  <c r="R86" i="4"/>
  <c r="V86" i="4" s="1"/>
  <c r="R87" i="4"/>
  <c r="V87" i="4" s="1"/>
  <c r="R88" i="4"/>
  <c r="V88" i="4" s="1"/>
  <c r="R89" i="4"/>
  <c r="R90" i="4"/>
  <c r="V90" i="4" s="1"/>
  <c r="R91" i="4"/>
  <c r="V91" i="4" s="1"/>
  <c r="R92" i="4"/>
  <c r="V92" i="4" s="1"/>
  <c r="R93" i="4"/>
  <c r="V93" i="4" s="1"/>
  <c r="R94" i="4"/>
  <c r="V94" i="4" s="1"/>
  <c r="R98" i="4"/>
  <c r="V98" i="4" s="1"/>
  <c r="R99" i="4"/>
  <c r="V99" i="4" s="1"/>
  <c r="R10" i="4"/>
  <c r="V10" i="4" s="1"/>
  <c r="Q102" i="4"/>
  <c r="Q101" i="4"/>
  <c r="M23" i="3"/>
  <c r="R23" i="3" s="1"/>
  <c r="M37" i="3"/>
  <c r="R37" i="3" s="1"/>
  <c r="M38" i="3"/>
  <c r="R38" i="3" s="1"/>
  <c r="M39" i="3"/>
  <c r="R39" i="3" s="1"/>
  <c r="M40" i="3"/>
  <c r="R40" i="3" s="1"/>
  <c r="M42" i="3"/>
  <c r="R42" i="3" s="1"/>
  <c r="M43" i="3"/>
  <c r="R43" i="3" s="1"/>
  <c r="M44" i="3"/>
  <c r="R44" i="3" s="1"/>
  <c r="F102" i="4"/>
  <c r="F97" i="4"/>
  <c r="G97" i="4" s="1"/>
  <c r="R97" i="4" s="1"/>
  <c r="V97" i="4" s="1"/>
  <c r="F96" i="4"/>
  <c r="F101" i="4"/>
  <c r="G101" i="4" s="1"/>
  <c r="R101" i="4" s="1"/>
  <c r="V101" i="4" s="1"/>
  <c r="F95" i="4"/>
  <c r="G95" i="4" s="1"/>
  <c r="G96" i="4"/>
  <c r="F33" i="4"/>
  <c r="G33" i="4" s="1"/>
  <c r="R33" i="4" s="1"/>
  <c r="V33" i="4" s="1"/>
  <c r="H83" i="4"/>
  <c r="R83" i="4" s="1"/>
  <c r="V83" i="4" s="1"/>
  <c r="K75" i="4"/>
  <c r="K105" i="4" s="1"/>
  <c r="M67" i="4"/>
  <c r="R67" i="4" s="1"/>
  <c r="V67" i="4" s="1"/>
  <c r="D34" i="14"/>
  <c r="G34" i="14" s="1"/>
  <c r="G32" i="14"/>
  <c r="F16" i="14"/>
  <c r="F35" i="14" s="1"/>
  <c r="E16" i="14"/>
  <c r="E35" i="14" s="1"/>
  <c r="D16" i="14"/>
  <c r="D35" i="14" s="1"/>
  <c r="C16" i="14"/>
  <c r="G12" i="14"/>
  <c r="G11" i="14"/>
  <c r="G10" i="14"/>
  <c r="G9" i="14"/>
  <c r="N5" i="18"/>
  <c r="N6" i="18"/>
  <c r="N7" i="18"/>
  <c r="N8" i="18"/>
  <c r="N9" i="18"/>
  <c r="N10" i="18"/>
  <c r="N11" i="18"/>
  <c r="N12" i="18"/>
  <c r="N13" i="18"/>
  <c r="C14" i="18"/>
  <c r="C28" i="18" s="1"/>
  <c r="F14" i="18"/>
  <c r="F28" i="18" s="1"/>
  <c r="G14" i="18"/>
  <c r="G28" i="18" s="1"/>
  <c r="I14" i="18"/>
  <c r="I28" i="18" s="1"/>
  <c r="J14" i="18"/>
  <c r="J28" i="18" s="1"/>
  <c r="K14" i="18"/>
  <c r="K28" i="18" s="1"/>
  <c r="L14" i="18"/>
  <c r="L28" i="18" s="1"/>
  <c r="M14" i="18"/>
  <c r="M28" i="18" s="1"/>
  <c r="B14" i="18"/>
  <c r="B28" i="18" s="1"/>
  <c r="C7" i="15"/>
  <c r="I7" i="9"/>
  <c r="R10" i="6"/>
  <c r="V10" i="6" s="1"/>
  <c r="R11" i="6"/>
  <c r="V11" i="6" s="1"/>
  <c r="R12" i="6"/>
  <c r="V12" i="6" s="1"/>
  <c r="R13" i="6"/>
  <c r="V13" i="6" s="1"/>
  <c r="R14" i="6"/>
  <c r="V14" i="6" s="1"/>
  <c r="R15" i="6"/>
  <c r="V15" i="6" s="1"/>
  <c r="R17" i="6"/>
  <c r="V17" i="6" s="1"/>
  <c r="R18" i="6"/>
  <c r="V18" i="6" s="1"/>
  <c r="E23" i="11"/>
  <c r="F23" i="11"/>
  <c r="G23" i="11"/>
  <c r="D23" i="11"/>
  <c r="D24" i="11" s="1"/>
  <c r="D10" i="11"/>
  <c r="V80" i="4"/>
  <c r="V24" i="4"/>
  <c r="V25" i="4"/>
  <c r="V29" i="4"/>
  <c r="V38" i="4"/>
  <c r="V39" i="4"/>
  <c r="V45" i="4"/>
  <c r="V46" i="4"/>
  <c r="V54" i="4"/>
  <c r="V55" i="4"/>
  <c r="V65" i="4"/>
  <c r="V66" i="4"/>
  <c r="V68" i="4"/>
  <c r="V69" i="4"/>
  <c r="V70" i="4"/>
  <c r="V71" i="4"/>
  <c r="V72" i="4"/>
  <c r="V73" i="4"/>
  <c r="V74" i="4"/>
  <c r="V89" i="4"/>
  <c r="V41" i="4"/>
  <c r="R103" i="4"/>
  <c r="V103" i="4" s="1"/>
  <c r="S19" i="6"/>
  <c r="T19" i="6"/>
  <c r="U19" i="6"/>
  <c r="G19" i="6"/>
  <c r="I19" i="6"/>
  <c r="J19" i="6"/>
  <c r="K19" i="6"/>
  <c r="L19" i="6"/>
  <c r="M19" i="6"/>
  <c r="N19" i="6"/>
  <c r="O19" i="6"/>
  <c r="P19" i="6"/>
  <c r="Q19" i="6"/>
  <c r="T105" i="4"/>
  <c r="S105" i="4"/>
  <c r="J105" i="4"/>
  <c r="C103" i="2" s="1"/>
  <c r="N105" i="4"/>
  <c r="O105" i="4"/>
  <c r="C122" i="2" s="1"/>
  <c r="P105" i="4"/>
  <c r="C124" i="2" s="1"/>
  <c r="M8" i="5"/>
  <c r="R8" i="5" s="1"/>
  <c r="M9" i="5"/>
  <c r="R9" i="5" s="1"/>
  <c r="M10" i="5"/>
  <c r="R10" i="5" s="1"/>
  <c r="M11" i="5"/>
  <c r="R11" i="5" s="1"/>
  <c r="M13" i="5"/>
  <c r="R13" i="5" s="1"/>
  <c r="M14" i="5"/>
  <c r="R14" i="5" s="1"/>
  <c r="M15" i="5"/>
  <c r="R15" i="5" s="1"/>
  <c r="M16" i="5"/>
  <c r="R16" i="5" s="1"/>
  <c r="M17" i="5"/>
  <c r="R17" i="5"/>
  <c r="M18" i="5"/>
  <c r="R18" i="5" s="1"/>
  <c r="M19" i="5"/>
  <c r="R19" i="5" s="1"/>
  <c r="M20" i="5"/>
  <c r="R20" i="5" s="1"/>
  <c r="M21" i="5"/>
  <c r="R21" i="5" s="1"/>
  <c r="M22" i="5"/>
  <c r="R22" i="5" s="1"/>
  <c r="M24" i="5"/>
  <c r="R24" i="5" s="1"/>
  <c r="M25" i="5"/>
  <c r="R25" i="5" s="1"/>
  <c r="M26" i="5"/>
  <c r="R26" i="5"/>
  <c r="M27" i="5"/>
  <c r="R27" i="5" s="1"/>
  <c r="M29" i="5"/>
  <c r="R29" i="5" s="1"/>
  <c r="M30" i="5"/>
  <c r="R30" i="5"/>
  <c r="M7" i="5"/>
  <c r="G31" i="5"/>
  <c r="H31" i="5"/>
  <c r="I31" i="5"/>
  <c r="J31" i="5"/>
  <c r="K31" i="5"/>
  <c r="L31" i="5"/>
  <c r="E31" i="5"/>
  <c r="M32" i="5" s="1"/>
  <c r="M8" i="3"/>
  <c r="R8" i="3" s="1"/>
  <c r="M9" i="3"/>
  <c r="R9" i="3" s="1"/>
  <c r="M10" i="3"/>
  <c r="R10" i="3" s="1"/>
  <c r="M11" i="3"/>
  <c r="M12" i="3"/>
  <c r="M13" i="3"/>
  <c r="R13" i="3" s="1"/>
  <c r="M14" i="3"/>
  <c r="R14" i="3" s="1"/>
  <c r="M15" i="3"/>
  <c r="R15" i="3" s="1"/>
  <c r="M16" i="3"/>
  <c r="R16" i="3" s="1"/>
  <c r="M17" i="3"/>
  <c r="R17" i="3" s="1"/>
  <c r="M18" i="3"/>
  <c r="R18" i="3" s="1"/>
  <c r="M19" i="3"/>
  <c r="R19" i="3" s="1"/>
  <c r="M20" i="3"/>
  <c r="R20" i="3" s="1"/>
  <c r="M21" i="3"/>
  <c r="R21" i="3" s="1"/>
  <c r="M22" i="3"/>
  <c r="R22" i="3" s="1"/>
  <c r="M24" i="3"/>
  <c r="R24" i="3" s="1"/>
  <c r="M25" i="3"/>
  <c r="R25" i="3" s="1"/>
  <c r="M26" i="3"/>
  <c r="R26" i="3" s="1"/>
  <c r="M27" i="3"/>
  <c r="R27" i="3" s="1"/>
  <c r="M28" i="3"/>
  <c r="R28" i="3" s="1"/>
  <c r="M29" i="3"/>
  <c r="R29" i="3"/>
  <c r="M30" i="3"/>
  <c r="R30" i="3" s="1"/>
  <c r="M31" i="3"/>
  <c r="R31" i="3" s="1"/>
  <c r="M32" i="3"/>
  <c r="R32" i="3" s="1"/>
  <c r="M33" i="3"/>
  <c r="R33" i="3" s="1"/>
  <c r="M34" i="3"/>
  <c r="R34" i="3" s="1"/>
  <c r="M35" i="3"/>
  <c r="R35" i="3" s="1"/>
  <c r="M36" i="3"/>
  <c r="R36" i="3" s="1"/>
  <c r="M45" i="3"/>
  <c r="R45" i="3" s="1"/>
  <c r="I47" i="3"/>
  <c r="C54" i="2" s="1"/>
  <c r="C51" i="2" s="1"/>
  <c r="C9" i="10" s="1"/>
  <c r="J47" i="3"/>
  <c r="C24" i="2" s="1"/>
  <c r="C19" i="2" s="1"/>
  <c r="C14" i="10" s="1"/>
  <c r="K47" i="3"/>
  <c r="C47" i="2"/>
  <c r="C45" i="2" s="1"/>
  <c r="C15" i="10" s="1"/>
  <c r="L47" i="3"/>
  <c r="C59" i="2" s="1"/>
  <c r="C56" i="2" s="1"/>
  <c r="C16" i="10" s="1"/>
  <c r="H58" i="3"/>
  <c r="P47" i="3"/>
  <c r="C72" i="2" s="1"/>
  <c r="E58" i="3"/>
  <c r="C10" i="2"/>
  <c r="C9" i="2"/>
  <c r="C8" i="2"/>
  <c r="C7" i="2"/>
  <c r="R7" i="5"/>
  <c r="C44" i="2"/>
  <c r="C19" i="12"/>
  <c r="C29" i="2"/>
  <c r="C30" i="2"/>
  <c r="C31" i="2"/>
  <c r="C32" i="2"/>
  <c r="C33" i="2"/>
  <c r="C36" i="2"/>
  <c r="C37" i="2"/>
  <c r="C39" i="2"/>
  <c r="C40" i="2"/>
  <c r="C42" i="2"/>
  <c r="C62" i="2"/>
  <c r="C66" i="2"/>
  <c r="C80" i="2"/>
  <c r="C99" i="2"/>
  <c r="C121" i="2"/>
  <c r="C127" i="2"/>
  <c r="C131" i="2"/>
  <c r="C142" i="2"/>
  <c r="C23" i="11"/>
  <c r="G8" i="13"/>
  <c r="H8" i="13"/>
  <c r="I8" i="13"/>
  <c r="J8" i="13"/>
  <c r="K8" i="13"/>
  <c r="L8" i="13"/>
  <c r="M8" i="13"/>
  <c r="N8" i="13"/>
  <c r="O8" i="13"/>
  <c r="P8" i="13"/>
  <c r="Q8" i="13"/>
  <c r="C10" i="15"/>
  <c r="C9" i="16"/>
  <c r="M7" i="3"/>
  <c r="R7" i="3" s="1"/>
  <c r="M46" i="3"/>
  <c r="R46" i="3" s="1"/>
  <c r="E47" i="3"/>
  <c r="F47" i="3"/>
  <c r="G47" i="3"/>
  <c r="C6" i="15" s="1"/>
  <c r="H47" i="3"/>
  <c r="E105" i="4"/>
  <c r="R9" i="6"/>
  <c r="V9" i="6" s="1"/>
  <c r="E19" i="6"/>
  <c r="F19" i="6"/>
  <c r="E13" i="9"/>
  <c r="F13" i="9"/>
  <c r="G13" i="9"/>
  <c r="I15" i="9"/>
  <c r="I18" i="9" s="1"/>
  <c r="E18" i="9"/>
  <c r="F18" i="9"/>
  <c r="G18" i="9"/>
  <c r="H18" i="9"/>
  <c r="H105" i="4"/>
  <c r="V76" i="4"/>
  <c r="L105" i="4"/>
  <c r="Q31" i="5"/>
  <c r="F77" i="2" s="1"/>
  <c r="R104" i="4"/>
  <c r="V104" i="4" s="1"/>
  <c r="R75" i="4"/>
  <c r="V75" i="4" s="1"/>
  <c r="N15" i="7" l="1"/>
  <c r="E36" i="7"/>
  <c r="E171" i="8"/>
  <c r="E279" i="8"/>
  <c r="F114" i="2"/>
  <c r="P24" i="18" s="1"/>
  <c r="I36" i="7"/>
  <c r="M22" i="7"/>
  <c r="M31" i="7"/>
  <c r="N31" i="7" s="1"/>
  <c r="E42" i="8"/>
  <c r="E72" i="8"/>
  <c r="R32" i="5"/>
  <c r="M11" i="7"/>
  <c r="N11" i="7" s="1"/>
  <c r="M16" i="7"/>
  <c r="N16" i="7" s="1"/>
  <c r="M25" i="7"/>
  <c r="E231" i="8"/>
  <c r="E12" i="8"/>
  <c r="E191" i="8"/>
  <c r="G19" i="9"/>
  <c r="P9" i="18"/>
  <c r="V49" i="4"/>
  <c r="E15" i="8"/>
  <c r="E22" i="8" s="1"/>
  <c r="C111" i="2" s="1"/>
  <c r="B82" i="8"/>
  <c r="E105" i="8"/>
  <c r="E112" i="8" s="1"/>
  <c r="E194" i="8"/>
  <c r="E201" i="8" s="1"/>
  <c r="B260" i="8"/>
  <c r="B142" i="8"/>
  <c r="N14" i="7"/>
  <c r="G36" i="7"/>
  <c r="M9" i="7"/>
  <c r="N9" i="7" s="1"/>
  <c r="M10" i="7"/>
  <c r="N10" i="7" s="1"/>
  <c r="M14" i="7"/>
  <c r="N22" i="7"/>
  <c r="N25" i="7"/>
  <c r="F18" i="7"/>
  <c r="F36" i="7" s="1"/>
  <c r="C114" i="2"/>
  <c r="F16" i="10" s="1"/>
  <c r="H19" i="6"/>
  <c r="F96" i="2" s="1"/>
  <c r="P18" i="18" s="1"/>
  <c r="U105" i="4"/>
  <c r="F23" i="10" s="1"/>
  <c r="F30" i="10" s="1"/>
  <c r="P10" i="18"/>
  <c r="C96" i="2"/>
  <c r="F7" i="10" s="1"/>
  <c r="E19" i="9"/>
  <c r="C12" i="15"/>
  <c r="C28" i="2"/>
  <c r="C26" i="2" s="1"/>
  <c r="S7" i="5"/>
  <c r="F105" i="4"/>
  <c r="C94" i="2" s="1"/>
  <c r="F5" i="10" s="1"/>
  <c r="M31" i="5"/>
  <c r="R31" i="5" s="1"/>
  <c r="R48" i="3" s="1"/>
  <c r="P11" i="18"/>
  <c r="P25" i="18"/>
  <c r="F17" i="14"/>
  <c r="R19" i="6"/>
  <c r="G16" i="14"/>
  <c r="M47" i="3"/>
  <c r="R47" i="3" s="1"/>
  <c r="F110" i="2"/>
  <c r="P22" i="18" s="1"/>
  <c r="G102" i="4"/>
  <c r="R102" i="4" s="1"/>
  <c r="V102" i="4" s="1"/>
  <c r="R96" i="4"/>
  <c r="V96" i="4" s="1"/>
  <c r="Q105" i="4"/>
  <c r="F126" i="2" s="1"/>
  <c r="P8" i="18"/>
  <c r="N14" i="18"/>
  <c r="D14" i="18"/>
  <c r="D28" i="18" s="1"/>
  <c r="V50" i="4"/>
  <c r="C71" i="2"/>
  <c r="P12" i="18" s="1"/>
  <c r="F108" i="2"/>
  <c r="P21" i="18" s="1"/>
  <c r="C108" i="2"/>
  <c r="C98" i="2" s="1"/>
  <c r="F9" i="10" s="1"/>
  <c r="R95" i="4"/>
  <c r="V95" i="4" s="1"/>
  <c r="G35" i="14"/>
  <c r="G17" i="14"/>
  <c r="C17" i="2"/>
  <c r="C12" i="2" s="1"/>
  <c r="F10" i="10"/>
  <c r="V19" i="6"/>
  <c r="F103" i="2"/>
  <c r="F19" i="9"/>
  <c r="C35" i="14"/>
  <c r="C17" i="14"/>
  <c r="M105" i="4"/>
  <c r="C110" i="2"/>
  <c r="H13" i="9"/>
  <c r="H19" i="9" s="1"/>
  <c r="C6" i="2"/>
  <c r="M28" i="5"/>
  <c r="R28" i="5" s="1"/>
  <c r="D17" i="14"/>
  <c r="F72" i="2"/>
  <c r="C77" i="2"/>
  <c r="C34" i="2"/>
  <c r="E17" i="14"/>
  <c r="C19" i="10"/>
  <c r="N18" i="7" l="1"/>
  <c r="R49" i="3"/>
  <c r="M35" i="7"/>
  <c r="N35" i="7" s="1"/>
  <c r="N36" i="7" s="1"/>
  <c r="F61" i="2"/>
  <c r="C125" i="2"/>
  <c r="P26" i="18" s="1"/>
  <c r="G105" i="4"/>
  <c r="C95" i="2" s="1"/>
  <c r="C139" i="2"/>
  <c r="C136" i="2" s="1"/>
  <c r="C147" i="2" s="1"/>
  <c r="F139" i="2"/>
  <c r="P27" i="18" s="1"/>
  <c r="M18" i="7"/>
  <c r="C8" i="10"/>
  <c r="P7" i="18"/>
  <c r="C6" i="10"/>
  <c r="P5" i="18"/>
  <c r="F17" i="10"/>
  <c r="C5" i="10"/>
  <c r="P4" i="18"/>
  <c r="C123" i="2"/>
  <c r="C7" i="10"/>
  <c r="P6" i="18"/>
  <c r="F94" i="2"/>
  <c r="P16" i="18" s="1"/>
  <c r="F98" i="2"/>
  <c r="P20" i="18"/>
  <c r="F87" i="2"/>
  <c r="F14" i="10"/>
  <c r="C24" i="10"/>
  <c r="C30" i="10" s="1"/>
  <c r="C74" i="2"/>
  <c r="F112" i="2"/>
  <c r="C112" i="2"/>
  <c r="F15" i="10" s="1"/>
  <c r="C61" i="2"/>
  <c r="I13" i="9"/>
  <c r="I19" i="9" s="1"/>
  <c r="F95" i="2" l="1"/>
  <c r="P17" i="18" s="1"/>
  <c r="M36" i="7"/>
  <c r="C12" i="10"/>
  <c r="C20" i="10" s="1"/>
  <c r="C31" i="10" s="1"/>
  <c r="F109" i="2"/>
  <c r="P23" i="18"/>
  <c r="C86" i="2"/>
  <c r="C153" i="2" s="1"/>
  <c r="P13" i="18"/>
  <c r="P14" i="18" s="1"/>
  <c r="F19" i="10"/>
  <c r="N28" i="18"/>
  <c r="F6" i="10"/>
  <c r="C109" i="2"/>
  <c r="C34" i="10" l="1"/>
  <c r="C35" i="10"/>
  <c r="C87" i="2"/>
  <c r="R82" i="4"/>
  <c r="V82" i="4" s="1"/>
  <c r="V105" i="4" s="1"/>
  <c r="F148" i="2" s="1"/>
  <c r="I105" i="4"/>
  <c r="F97" i="2" s="1"/>
  <c r="P19" i="18" s="1"/>
  <c r="P28" i="18" s="1"/>
  <c r="C97" i="2"/>
  <c r="F8" i="10" s="1"/>
  <c r="F12" i="10" s="1"/>
  <c r="R105" i="4" l="1"/>
  <c r="C93" i="2"/>
  <c r="C126" i="2" s="1"/>
  <c r="C148" i="2" s="1"/>
  <c r="F20" i="10"/>
  <c r="F34" i="10" s="1"/>
  <c r="C152" i="2" l="1"/>
  <c r="F31" i="10"/>
  <c r="C32" i="10"/>
  <c r="C33" i="10" s="1"/>
  <c r="F35" i="10"/>
  <c r="C10" i="11"/>
  <c r="C24" i="11"/>
  <c r="E10" i="11"/>
  <c r="E24" i="11"/>
  <c r="G10" i="11"/>
  <c r="G24" i="11"/>
  <c r="F10" i="11"/>
  <c r="F24" i="11"/>
</calcChain>
</file>

<file path=xl/comments1.xml><?xml version="1.0" encoding="utf-8"?>
<comments xmlns="http://schemas.openxmlformats.org/spreadsheetml/2006/main">
  <authors>
    <author/>
  </authors>
  <commentList>
    <comment ref="A27" authorId="0" shapeId="0">
      <text>
        <r>
          <rPr>
            <b/>
            <sz val="9"/>
            <color indexed="8"/>
            <rFont val="Segoe UI"/>
            <family val="2"/>
            <charset val="238"/>
          </rPr>
          <t xml:space="preserve">szandrea:
</t>
        </r>
      </text>
    </comment>
  </commentList>
</comments>
</file>

<file path=xl/sharedStrings.xml><?xml version="1.0" encoding="utf-8"?>
<sst xmlns="http://schemas.openxmlformats.org/spreadsheetml/2006/main" count="1500" uniqueCount="736">
  <si>
    <t>Cím</t>
  </si>
  <si>
    <t>Alcím</t>
  </si>
  <si>
    <t>Megnevezés</t>
  </si>
  <si>
    <t>1.</t>
  </si>
  <si>
    <t>Várpalota Város Önkormányzata</t>
  </si>
  <si>
    <t>2.</t>
  </si>
  <si>
    <t>Várpalotai Polgármesteri Hivatal</t>
  </si>
  <si>
    <t>3.</t>
  </si>
  <si>
    <t>Várpalotai Összevont Óvoda és Bölcsőde</t>
  </si>
  <si>
    <t>4.</t>
  </si>
  <si>
    <t>Ringató Bölcsőde</t>
  </si>
  <si>
    <t>5.</t>
  </si>
  <si>
    <t>B E V É T E L E K</t>
  </si>
  <si>
    <t>1. sz. táblázat</t>
  </si>
  <si>
    <t>Ezer forintban</t>
  </si>
  <si>
    <t>Sor-
szám</t>
  </si>
  <si>
    <t>Bevételi jogcím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</si>
  <si>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</si>
  <si>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</si>
  <si>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</si>
  <si>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</si>
  <si>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</si>
  <si>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</si>
  <si>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</si>
  <si>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</si>
  <si>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</si>
  <si>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</si>
  <si>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</si>
  <si>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</si>
  <si>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</si>
  <si>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</si>
  <si>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</si>
  <si>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</si>
  <si>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</si>
  <si>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</si>
  <si>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</si>
  <si>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</si>
  <si>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</si>
  <si>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</si>
  <si>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</si>
  <si>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</si>
  <si>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</si>
  <si>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</si>
  <si>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</si>
  <si>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</si>
  <si>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</si>
  <si>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</si>
  <si>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</si>
  <si>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</si>
  <si>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</si>
  <si>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</si>
  <si>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</si>
  <si>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</si>
  <si>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</si>
  <si>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</si>
  <si>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(4.1.+4.2.+4.3.+4.4.+4.5.)</t>
  </si>
  <si>
    <t>4.1.</t>
  </si>
  <si>
    <t>Magánszemélyek jövedelem adói</t>
  </si>
  <si>
    <t>4.2.</t>
  </si>
  <si>
    <t>Helyi adók  (4.2.1.+4.2.2.)</t>
  </si>
  <si>
    <t>4.2.1.</t>
  </si>
  <si>
    <t>- Vagyoni típusú adók</t>
  </si>
  <si>
    <t>4.2.2.</t>
  </si>
  <si>
    <t>- Termékek és szolgáltatások adói</t>
  </si>
  <si>
    <t>4.3.</t>
  </si>
  <si>
    <t>Gépjárműadó</t>
  </si>
  <si>
    <t>4.4.</t>
  </si>
  <si>
    <t>Egyéb áruhasználati és szolgáltatási adók</t>
  </si>
  <si>
    <t>4.5.</t>
  </si>
  <si>
    <t>Egyéb közhatalmi bevételek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</si>
  <si>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</si>
  <si>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</si>
  <si>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</si>
  <si>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</si>
  <si>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</si>
  <si>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</si>
  <si>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</si>
  <si>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</si>
  <si>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</si>
  <si>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</si>
  <si>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</si>
  <si>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</si>
  <si>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</si>
  <si>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</si>
  <si>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</si>
  <si>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</si>
  <si>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</si>
  <si>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</si>
  <si>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</si>
  <si>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</si>
  <si>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</si>
  <si>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</si>
  <si>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</si>
  <si>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</si>
  <si>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</si>
  <si>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</si>
  <si>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</si>
  <si>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</si>
  <si>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</si>
  <si>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</si>
  <si>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</si>
  <si>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</si>
  <si>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</si>
  <si>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</si>
  <si>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</si>
  <si>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</si>
  <si>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</si>
  <si>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</si>
  <si>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</si>
  <si>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</si>
  <si>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</si>
  <si>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</si>
  <si>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</si>
  <si>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</si>
  <si>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</si>
  <si>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</si>
  <si>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</si>
  <si>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</si>
  <si>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</si>
  <si>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</si>
  <si>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</si>
  <si>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</si>
  <si>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</si>
  <si>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</si>
  <si>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</si>
  <si>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</si>
  <si>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</si>
  <si>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</si>
  <si>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</si>
  <si>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</si>
  <si>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</si>
  <si>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</si>
  <si>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</si>
  <si>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</si>
  <si>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</si>
  <si>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</si>
  <si>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</si>
  <si>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</si>
  <si>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</si>
  <si>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</si>
  <si>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</si>
  <si>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</si>
  <si>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</si>
  <si>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</si>
  <si>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</si>
  <si>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</si>
  <si>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</si>
  <si>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</si>
  <si>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</si>
  <si>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</si>
  <si>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</si>
  <si>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</si>
  <si>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</si>
  <si>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</si>
  <si>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</si>
  <si>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</si>
  <si>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Központi irányító szervi támogatás</t>
  </si>
  <si>
    <t>13.4.</t>
  </si>
  <si>
    <t>Betétek megszüntetése</t>
  </si>
  <si>
    <t>13.5.</t>
  </si>
  <si>
    <t>Központi költségvetés sajátos finanszírozási bevételei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</si>
  <si>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</si>
  <si>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</si>
  <si>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</si>
  <si>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</si>
  <si>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</si>
  <si>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</si>
  <si>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</si>
  <si>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</si>
  <si>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</si>
  <si>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</si>
  <si>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</si>
  <si>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</si>
  <si>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</si>
  <si>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</si>
  <si>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</si>
  <si>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</si>
  <si>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</si>
  <si>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</si>
  <si>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</si>
  <si>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10"/>
        <rFont val="Palatino Linotyp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</si>
  <si>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</si>
  <si>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</si>
  <si>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</si>
  <si>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</si>
  <si>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</si>
  <si>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</si>
  <si>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1.6.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</si>
  <si>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</si>
  <si>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</si>
  <si>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</si>
  <si>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</si>
  <si>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</si>
  <si>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</si>
  <si>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</si>
  <si>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</si>
  <si>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</si>
  <si>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</si>
  <si>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</si>
  <si>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</si>
  <si>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</si>
  <si>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</si>
  <si>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</si>
  <si>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</si>
  <si>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</si>
  <si>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</si>
  <si>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ÁH-n kívülre</t>
  </si>
  <si>
    <r>
      <t xml:space="preserve">   Felhalmozási költségvetés kiadásai </t>
    </r>
    <r>
      <rPr>
        <sz val="10"/>
        <rFont val="Palatino Linotyp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</si>
  <si>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</si>
  <si>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</si>
  <si>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</si>
  <si>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</si>
  <si>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</si>
  <si>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</si>
  <si>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</si>
  <si>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</si>
  <si>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</si>
  <si>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</si>
  <si>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</si>
  <si>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</si>
  <si>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</si>
  <si>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</si>
  <si>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</si>
  <si>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</si>
  <si>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</si>
  <si>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ÁH-n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</si>
  <si>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</si>
  <si>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</si>
  <si>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</si>
  <si>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</si>
  <si>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</si>
  <si>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</si>
  <si>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</si>
  <si>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</si>
  <si>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</si>
  <si>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</si>
  <si>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</si>
  <si>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</si>
  <si>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</si>
  <si>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</si>
  <si>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</si>
  <si>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</si>
  <si>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</si>
  <si>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>Központi, irányító szervi támogatások folyósítása Áht. 73. § (1)</t>
  </si>
  <si>
    <t xml:space="preserve"> Pénzeszközök betétként elhelyezése </t>
  </si>
  <si>
    <t>7.5.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</si>
  <si>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</si>
  <si>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</si>
  <si>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</si>
  <si>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</si>
  <si>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</si>
  <si>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</si>
  <si>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</si>
  <si>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</si>
  <si>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</si>
  <si>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</si>
  <si>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</si>
  <si>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</si>
  <si>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</si>
  <si>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</si>
  <si>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</si>
  <si>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</si>
  <si>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</si>
  <si>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</si>
  <si>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</si>
  <si>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</si>
  <si>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</si>
  <si>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</si>
  <si>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</si>
  <si>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</si>
  <si>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</si>
  <si>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</si>
  <si>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</si>
  <si>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</si>
  <si>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</si>
  <si>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</si>
  <si>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</si>
  <si>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Feladat jelleg</t>
  </si>
  <si>
    <t>MŰKÖDÉSI BEVÉTELEK</t>
  </si>
  <si>
    <t>FELHALMOZÁSI KÖLTSÉGVETÉS BEVÉTELEK</t>
  </si>
  <si>
    <t>KÖLTSÉGVETÉSI BEVÉTELEK ÖSSZESEN</t>
  </si>
  <si>
    <t>FINANSZÍROZÁSI BEVÉTELEK</t>
  </si>
  <si>
    <t>BEVÉTELEK ÖSSZESEN</t>
  </si>
  <si>
    <t>Önkormányzat működési támogatásai</t>
  </si>
  <si>
    <t xml:space="preserve">Működési célú támogatások      Áht.-on belülről </t>
  </si>
  <si>
    <t>Közhatalmi bevételek</t>
  </si>
  <si>
    <t xml:space="preserve">Működési bevételek </t>
  </si>
  <si>
    <t>Működési célú átvett pénzeszközök Áht.-on kívülről</t>
  </si>
  <si>
    <t>Felhalmozási célú támogatások Áht.-on belülről</t>
  </si>
  <si>
    <t>Felhalmozási bevételek</t>
  </si>
  <si>
    <t>Felhalmozási célú átvett pénzeszközök Áht.-on kívülről</t>
  </si>
  <si>
    <t>Hitel-, kölcsöntörlesztés Áht.-on kívülről</t>
  </si>
  <si>
    <t>Belföldi értékpapírok bevételei</t>
  </si>
  <si>
    <t>Maradvány</t>
  </si>
  <si>
    <t>Belföldi finanszírozás bevételei</t>
  </si>
  <si>
    <t>Önkorm. jogalkotó és ált. igazg. tevékenysége</t>
  </si>
  <si>
    <t>Városüzemeltetés</t>
  </si>
  <si>
    <t>Építményadó</t>
  </si>
  <si>
    <t>Telekadó</t>
  </si>
  <si>
    <t>Hipa (állandó jelleggel végz.)</t>
  </si>
  <si>
    <t>Gépjárműadó 40%</t>
  </si>
  <si>
    <t>Talajterhelési díj</t>
  </si>
  <si>
    <t>Ebrendészeti hozzájárulás</t>
  </si>
  <si>
    <t>Közfoglalkoztatás</t>
  </si>
  <si>
    <t>Háziorvosi alapellátás - OEP finansz.</t>
  </si>
  <si>
    <t>Parkolókártya</t>
  </si>
  <si>
    <t>Közvetített szolgákltatások - továbbszámlázott rezsi Áht.-on kívülre</t>
  </si>
  <si>
    <t>Bérlemények, bérlakások bevételei</t>
  </si>
  <si>
    <t>NK</t>
  </si>
  <si>
    <t xml:space="preserve">Iskolai gyermekétkeztetés térítési díj </t>
  </si>
  <si>
    <t>Kiszámlázott ÁFA</t>
  </si>
  <si>
    <t>Kártérítési díj bevételek</t>
  </si>
  <si>
    <t xml:space="preserve">Számlatúlfizetések, visszafizetések elszámolásai </t>
  </si>
  <si>
    <t>Nyári tábor, petrozsényi tábor bevételei</t>
  </si>
  <si>
    <t>KEOP-4.10.0/N/14.-2014-0194 "Fotovoltaikus fejlesztés Várpalota Város Önkormányzatának épületén"</t>
  </si>
  <si>
    <t>MINDÖSSZESEN:</t>
  </si>
  <si>
    <t>adatok eFt-ban</t>
  </si>
  <si>
    <t>S</t>
  </si>
  <si>
    <t>Létszám</t>
  </si>
  <si>
    <t>MŰKÖDÉSI KÖLTSÉGVETÉS KIADÁSAI</t>
  </si>
  <si>
    <t>FELHALMOZÁSI KÖLTSÉGVETÉS KIADÁSAI</t>
  </si>
  <si>
    <t>TARTALÉKOK</t>
  </si>
  <si>
    <t>KÖLTSÉGVETÉSI KIADÁSOK ÖSSZESEN</t>
  </si>
  <si>
    <t>FINANSZÍROZÁSI KIADÁSOK</t>
  </si>
  <si>
    <t>KIADÁSOK ÖSSZESEN</t>
  </si>
  <si>
    <t>Személyi juttatás</t>
  </si>
  <si>
    <t>Munka-adót terhelő járulékok + SZHO</t>
  </si>
  <si>
    <t>Dologi és egyéb folyó kiadások</t>
  </si>
  <si>
    <t>Ellátot-tak. pénzbeli jutt.</t>
  </si>
  <si>
    <t>Egyéb működésicélú kiadások</t>
  </si>
  <si>
    <t>Egyéb felhalmozási célú kiadások kiadások</t>
  </si>
  <si>
    <t>Hitel-, kölcsöntörlesztés államháztartáson kívülre</t>
  </si>
  <si>
    <t>Belföldi értékpapírok kiadásai</t>
  </si>
  <si>
    <t>Belföldi finanszírozás kiadásai</t>
  </si>
  <si>
    <t>tak. pü.</t>
  </si>
  <si>
    <t>jutt.</t>
  </si>
  <si>
    <t>Áht.-on belülre</t>
  </si>
  <si>
    <t>Áht.-on kívülre</t>
  </si>
  <si>
    <t>Kiemelt önkormányzati rendezvények (Nemzeti ünnepek kiadásaira)</t>
  </si>
  <si>
    <t>Bérleményekkel, bérlakásokkal kapcsolatos feladatok (ökorm. vagyonnal való gazd. )</t>
  </si>
  <si>
    <t>Közutak, hidak, alagutak üzemeltetése, fenntartása</t>
  </si>
  <si>
    <t>,</t>
  </si>
  <si>
    <t>Zöldterület-kezelés (parkfenntartás, üzemelt.)</t>
  </si>
  <si>
    <t>Települési (nem veszélyes) hulladékkezelése</t>
  </si>
  <si>
    <t>Gyepmesteri tev., ebtelep üzemelt. (városgazdálk.szolg.)</t>
  </si>
  <si>
    <t>Térinformatika és közmű nyilvántartás frissítés</t>
  </si>
  <si>
    <t>Közvilágítás</t>
  </si>
  <si>
    <t>Szemünkfénye program</t>
  </si>
  <si>
    <t>Környezetvédelmi feladat (városüzemeltetés feladatai)</t>
  </si>
  <si>
    <t>Történelmi hely, építmény, egyéb látványosság működtetése (Thury vár)</t>
  </si>
  <si>
    <t>Helyi, térségi közösségi tér biztosítása, működtetése</t>
  </si>
  <si>
    <t>Könyvtári és közművelődési érdekeltségnövelő támog.</t>
  </si>
  <si>
    <t>Könyvtár</t>
  </si>
  <si>
    <t>Házasságkötő terem, turisztikai iroda</t>
  </si>
  <si>
    <t>Helyi adóval kapcsolatos feladatok</t>
  </si>
  <si>
    <t>Polgári védelem</t>
  </si>
  <si>
    <t>Magyar Vöröskereszt Hajléktalan Szálló működésének támogatása</t>
  </si>
  <si>
    <t>Temetők üzemeltetésével kapcsolatos feladatok</t>
  </si>
  <si>
    <t>Gyermekétkeztetés (iskolák)</t>
  </si>
  <si>
    <t>Költségvetési befizetési kötelezettség</t>
  </si>
  <si>
    <t>Várpalotai TKT (TNGK normatív állami támogatása átadása)</t>
  </si>
  <si>
    <t>Várpalotai TKT (TNGK feladatainak ellátásához támogatás)</t>
  </si>
  <si>
    <t>Várpalotai TKT (jogász)</t>
  </si>
  <si>
    <t>Várpalotai TKT (Központi háziorvosi ügyelet támogatása)</t>
  </si>
  <si>
    <t>Várpalotai TKT (Pszichológusi feladatok támogatása)</t>
  </si>
  <si>
    <t>Várpalotai TKT (társulási tagdíj)</t>
  </si>
  <si>
    <t>Várpalotai TKT (TNGK szállítási szolg.támog.)</t>
  </si>
  <si>
    <t>Várpalotai TKT (Szupervízió)</t>
  </si>
  <si>
    <t>THURY-VÁR Kft. működési támogatása</t>
  </si>
  <si>
    <t>Ifjúsági koncepció</t>
  </si>
  <si>
    <t>Rehabilitációs hozzájárulás</t>
  </si>
  <si>
    <t xml:space="preserve">Játszótéri eszközök </t>
  </si>
  <si>
    <t>Kisajátítás telekvásárlás</t>
  </si>
  <si>
    <t>Erdőgazdálkodás</t>
  </si>
  <si>
    <t>Nemzetközi kapcsolatok</t>
  </si>
  <si>
    <t xml:space="preserve">IÜSZ </t>
  </si>
  <si>
    <t>THURY-VÁR Kft. működési támogatása könyvtár</t>
  </si>
  <si>
    <t>Palotasport Kft. működési támogatás</t>
  </si>
  <si>
    <t>Inotai Polgárőrség támogatása</t>
  </si>
  <si>
    <t>BURSA ösztöndíj támogatása</t>
  </si>
  <si>
    <t>Középiskolai ösztöndíjrendszer</t>
  </si>
  <si>
    <t>Arany János tehetséggondozó prg.</t>
  </si>
  <si>
    <t>Nyári napközis tábor</t>
  </si>
  <si>
    <t>Önkormányzat igazgatási tevékenysége (Kt. tiszteletdíjak)</t>
  </si>
  <si>
    <t>Önkormányzat igazgatási tevékenysége (megbízási díjak)</t>
  </si>
  <si>
    <t>Városi kitüntetések</t>
  </si>
  <si>
    <t>Választókerületi keret (képviselői keret)</t>
  </si>
  <si>
    <t>Á</t>
  </si>
  <si>
    <t>Települési támogatás (Létfennt., eseti gyógyszer, Rendkívüli gyvt., temetési segély)</t>
  </si>
  <si>
    <t>Krízissegély</t>
  </si>
  <si>
    <t>Elemi károsultak segélye</t>
  </si>
  <si>
    <t>Köztemetés</t>
  </si>
  <si>
    <t>Közgyógyellátás (méltányos)</t>
  </si>
  <si>
    <t>Ápolási díj (méltányos)</t>
  </si>
  <si>
    <t>Lakbértámogatás</t>
  </si>
  <si>
    <t>Adósságkezelési támogatás</t>
  </si>
  <si>
    <t>Ellátottak térítési díja</t>
  </si>
  <si>
    <t>Szépkorúak Otthona</t>
  </si>
  <si>
    <t>Házasságkötésbevétele</t>
  </si>
  <si>
    <t>Közterület-felügyelet</t>
  </si>
  <si>
    <t>T</t>
  </si>
  <si>
    <t>U</t>
  </si>
  <si>
    <t>V</t>
  </si>
  <si>
    <t>Igazgatási tevékenység</t>
  </si>
  <si>
    <t>Feladatellátás jellege*</t>
  </si>
  <si>
    <t>Immateriális javak beszerzése, létesítése</t>
  </si>
  <si>
    <t>Ingatlanok beszerzése, létesítése</t>
  </si>
  <si>
    <t>Informatikai eszközök beszerzése, létesítése - nagyértékű</t>
  </si>
  <si>
    <t>Informatikai eszközök beszerzése, létesítése - kisértékű</t>
  </si>
  <si>
    <t>Egyéb tárgyi eszközök beszerzése, létesítése - nagyértékű</t>
  </si>
  <si>
    <t>Egyéb tárgyi eszközök beszerzése, létesítése – kisértékű</t>
  </si>
  <si>
    <t>Részesedések beszerzése</t>
  </si>
  <si>
    <t>Meglévő részesedések növeléséhez kapcsolódó kiadások</t>
  </si>
  <si>
    <t>Beruházási célú előzetesen felszámított általános forgalmi adó</t>
  </si>
  <si>
    <t>Összesen</t>
  </si>
  <si>
    <t>Önkormányzati beruházási kiadások</t>
  </si>
  <si>
    <t>Önkormányzati beruházási kiadások összesen</t>
  </si>
  <si>
    <t>Intézményi beruházási kiadások</t>
  </si>
  <si>
    <t>Intézményi beruházási kiadások összesen</t>
  </si>
  <si>
    <t>Beruházási kiadások mindösszesen</t>
  </si>
  <si>
    <t>KIMUTATÁS</t>
  </si>
  <si>
    <t>az Európai Uniós forrásból finanszírozott támogatással megvalósuló programok, projektek kiadásai és bevételei az Ávr. 24. § (1) bekezdés a)és bd) pontjainak megfelelően</t>
  </si>
  <si>
    <t>Ezer forintban!</t>
  </si>
  <si>
    <t>Források összesen:</t>
  </si>
  <si>
    <t>Saját erő</t>
  </si>
  <si>
    <t>EU-s forrás</t>
  </si>
  <si>
    <t>Társfinanszírozás</t>
  </si>
  <si>
    <t>Hitel</t>
  </si>
  <si>
    <t>Egyéb forrás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</si>
  <si>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</si>
  <si>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</si>
  <si>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</si>
  <si>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</si>
  <si>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</si>
  <si>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Összesen:</t>
  </si>
  <si>
    <t>Támogatott neve</t>
  </si>
  <si>
    <t>Hozzájárulás  (E Ft)</t>
  </si>
  <si>
    <t>Ingatlanok felújítása</t>
  </si>
  <si>
    <t>Informatikai eszközök felújítása</t>
  </si>
  <si>
    <t xml:space="preserve">Egyéb tárgyi eszközök felújítása </t>
  </si>
  <si>
    <t>Felújítási célú előzetesen felszámított általános forgalmi adó</t>
  </si>
  <si>
    <t>Önkormányzati felújítási kiadások</t>
  </si>
  <si>
    <t>Önkormányzati felújítási kiadások összesen</t>
  </si>
  <si>
    <t>Intézményi felújítási kiadások</t>
  </si>
  <si>
    <t>Intézményifelújítási kiadások összesen</t>
  </si>
  <si>
    <t>Felújítási kiadások mindösszesen</t>
  </si>
  <si>
    <t>MŰKÖDÉSI KÖLTSÉGVETÉSI BEVÉTELEK</t>
  </si>
  <si>
    <t>ezer Ft-ban</t>
  </si>
  <si>
    <t>MŰKÖDÉSI KÖLTSÉGVETÉSI KIADÁSOK</t>
  </si>
  <si>
    <t>Önkormányzatok működési támogatásai</t>
  </si>
  <si>
    <t>Személyi juttatások</t>
  </si>
  <si>
    <t>Működési célú támogatások államháztartáson belülről</t>
  </si>
  <si>
    <t>Dologi kiadások</t>
  </si>
  <si>
    <t>Működési bevételek</t>
  </si>
  <si>
    <t>Működési célú átvett pénzeszközök</t>
  </si>
  <si>
    <t>Egyéb működési célú kiadások (tartalékok nélkül)</t>
  </si>
  <si>
    <t>Működési célú tartalék</t>
  </si>
  <si>
    <t>Működési költségvetési bevételek összesen</t>
  </si>
  <si>
    <t>Működési költségvetési kiadások összesen</t>
  </si>
  <si>
    <t>FELHALMOZÁSI KÖLTSÉGVETÉSI BEVÉTELEK</t>
  </si>
  <si>
    <t>FELHALMOZÁSI KÖLTSÉGVETÉSI KIADÁSOK</t>
  </si>
  <si>
    <t>Felhalmozási célú támogatások államháztartáson belülről</t>
  </si>
  <si>
    <t>Beruházási kiadások</t>
  </si>
  <si>
    <t>Felújítási kiadások</t>
  </si>
  <si>
    <t>Felhalmozási célú átvett pénzeszközök</t>
  </si>
  <si>
    <t>Egyéb felhalmozási célú kiadások</t>
  </si>
  <si>
    <t>Felhalmozási célú tartalék</t>
  </si>
  <si>
    <t>Felhalmozási költségvetési bevételek összesen</t>
  </si>
  <si>
    <t>Felhalmozási költségvetési kiadások összesen</t>
  </si>
  <si>
    <t>Költségvetési bevételek összesen</t>
  </si>
  <si>
    <t>Költségvetési kiadások összesen</t>
  </si>
  <si>
    <t>MŰKÖDÉSI FINANSZÍROZÁSI BEVÉTELEK</t>
  </si>
  <si>
    <t>MŰKÖDÉSI FINANSZÍROZÁSI KIADÁSOK</t>
  </si>
  <si>
    <t>Rövid lejáratú hitel felvétele</t>
  </si>
  <si>
    <t>11.</t>
  </si>
  <si>
    <t>Rövid lejáratú hitel tőkeösszegének törlesztése</t>
  </si>
  <si>
    <t>Költségvetési maradvány, vállalkozási maradvány</t>
  </si>
  <si>
    <t>12.</t>
  </si>
  <si>
    <t>FELHALMOZÁSI FINANSZÍROZÁSI BEVÉTELEK</t>
  </si>
  <si>
    <t>FELHALMOZÁSI FINANSZÍROZÁSI KIADÁSOK</t>
  </si>
  <si>
    <t>Hosszú lejáratú hitel felvétele</t>
  </si>
  <si>
    <t>13.</t>
  </si>
  <si>
    <t>Hosszú lejáratú hitel tőkeösszegének törlesztése</t>
  </si>
  <si>
    <t>14.</t>
  </si>
  <si>
    <t>15.</t>
  </si>
  <si>
    <t>Központi, irányító szervi támogatások folyósítása Áht. 73. § (1) fc.</t>
  </si>
  <si>
    <t>Központi irányító szervi támogatás fc.</t>
  </si>
  <si>
    <t>Finanszírozási bevételek összesen</t>
  </si>
  <si>
    <t>Finanszírozási kiadások összesen</t>
  </si>
  <si>
    <t>ÖSSZES BEVÉTEL</t>
  </si>
  <si>
    <t>ÖSSZES KIADÁS</t>
  </si>
  <si>
    <t>Finanszírozási kiadásokkal korrigált hiány összege</t>
  </si>
  <si>
    <t>Működési bevételek aránya %-ban</t>
  </si>
  <si>
    <t>Működési kiadások aránya %-ban</t>
  </si>
  <si>
    <t>Felhalmozási bevételek aránya %-ban</t>
  </si>
  <si>
    <t>Felhalmozási kiadások aránya %-ban</t>
  </si>
  <si>
    <t xml:space="preserve"> </t>
  </si>
  <si>
    <t xml:space="preserve">Több éves kihatással járó feladatok előirányzatai éves bontásban </t>
  </si>
  <si>
    <t>tájékoztató jelleggel az Áht. 24. § (4) bekezdés b) pontja alapján</t>
  </si>
  <si>
    <t>Sorszám</t>
  </si>
  <si>
    <t>2012. évi előirányzat</t>
  </si>
  <si>
    <t>Játszóeszközök kopásból, elhasználódása</t>
  </si>
  <si>
    <t>Beruházás mindösszesen:</t>
  </si>
  <si>
    <t>ÉNYKK Zrt-vel (korábban Bakony Volán Zrt.) a rendezetlen költségek megtérítése vonatkozásban</t>
  </si>
  <si>
    <t>Parkfenntartás</t>
  </si>
  <si>
    <t>Települési Hulladék</t>
  </si>
  <si>
    <t>Önkormányzati intézmények energia beszerzése költségei fedezetének biztosításához szükséges előzetes pénzügyi kötelezettségvállalásról (villamosenergia)</t>
  </si>
  <si>
    <t>Önkormányzati intézmények energia beszerzése költségei fedezetének biztosításához szükséges előzetes pénzügyi kötelezettségvállalásról (földgáz)</t>
  </si>
  <si>
    <t>Útburkolati jelek festése</t>
  </si>
  <si>
    <t>Kitüntetések</t>
  </si>
  <si>
    <t>Önkormányzati kiadások összesen:</t>
  </si>
  <si>
    <t>tájékoztató jelleggel az Áht. 24. § (4) bekezdés c) pontja alapján</t>
  </si>
  <si>
    <t>Törvények és helyi rendeletek által nyújtott mentességek, kedvezmények</t>
  </si>
  <si>
    <t>Közvetett támogatás  ezer Forintban</t>
  </si>
  <si>
    <t>Közhatalmi bevételek:</t>
  </si>
  <si>
    <t>Iparűzési adó</t>
  </si>
  <si>
    <t>Kommunális adó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</si>
  <si>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</si>
  <si>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</si>
  <si>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Helyiségek, eszközök hasznosításából származó bevételből nyújtott kedvezmény, mentesség összege</t>
  </si>
  <si>
    <t>Egyéb nyújtott kedvezmény, vagy kölcsön elengedésének összege</t>
  </si>
  <si>
    <t>KIMUTATÁS Várpalota Város Önkormányzata hiteltörlesztésének, hitelállományának és egyéb kötelezettségeinek alakulásáról</t>
  </si>
  <si>
    <t>Hitel megnevezése</t>
  </si>
  <si>
    <t>Hitelt nyújtó pénzintézet</t>
  </si>
  <si>
    <t>Hitelszerződés dátuma</t>
  </si>
  <si>
    <t>Lejárat idő- pontja</t>
  </si>
  <si>
    <t>Hitelkeret</t>
  </si>
  <si>
    <t xml:space="preserve">Rövid lejáratú hitel </t>
  </si>
  <si>
    <t xml:space="preserve">Beruházási hitel </t>
  </si>
  <si>
    <t>I.</t>
  </si>
  <si>
    <t>Pénzintézetekkel szemben fenálló kötelezettségek összesen</t>
  </si>
  <si>
    <t>Ezer forintban !</t>
  </si>
  <si>
    <t>Sor-szám</t>
  </si>
  <si>
    <t>MEGNEVEZÉS</t>
  </si>
  <si>
    <t>Évek</t>
  </si>
  <si>
    <t>Várpalota Város Önkormányzat saját bevételeinek részletezése az adósságot keletkeztető ügyletből származó tárgyévi fizetési kötelezettség megállapításához</t>
  </si>
  <si>
    <t>Bevételi jogcímek</t>
  </si>
  <si>
    <t>Helyi adók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</si>
  <si>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</si>
  <si>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</si>
  <si>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</si>
  <si>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</si>
  <si>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Kezességvállalással kapcsolatos megtérülés</t>
  </si>
  <si>
    <t>SAJÁT BEVÉTELEK ÖSSZESEN*</t>
  </si>
  <si>
    <t>*Az adósságot keletkeztető ügyletekhez történő hozzájárulás részletes szabályairól szóló 353/2011. (XII.31.) Korm. Rendelet 2.§ (1) bekezdése alapján.</t>
  </si>
  <si>
    <t>Fejlesztési cél leírása</t>
  </si>
  <si>
    <t>Fejlesztés várható kiadása</t>
  </si>
  <si>
    <t>ADÓSSÁGOT KELETKEZTETŐ ÜGYLETEK VÁRHATÓ EGYÜTTES ÖSSZEGE</t>
  </si>
  <si>
    <t>ÉNYKK Zrt. helyi közösségi közlekedés közszolgáltatás támogatása</t>
  </si>
  <si>
    <t xml:space="preserve">A projekt neve: </t>
  </si>
  <si>
    <t>Költségvetési hiány összege</t>
  </si>
  <si>
    <t>2019. évi előirányzat</t>
  </si>
  <si>
    <t>összesen</t>
  </si>
  <si>
    <t>üzletek</t>
  </si>
  <si>
    <t>lakások</t>
  </si>
  <si>
    <t>lakástörlesztés</t>
  </si>
  <si>
    <t>Esélyegyenlőségi Terv készítése</t>
  </si>
  <si>
    <t>Drogstratégia  Program</t>
  </si>
  <si>
    <t>Adópótlék, adóbírság</t>
  </si>
  <si>
    <t>Településfejlesztési koncepció</t>
  </si>
  <si>
    <t>Közművelődési érdekeltségnövelő pályázat</t>
  </si>
  <si>
    <t>péti per</t>
  </si>
  <si>
    <t>viziközmű</t>
  </si>
  <si>
    <t>Közvetített szolgáltatások - továbbszámlázott rezsi Áht.-on belülre</t>
  </si>
  <si>
    <t>THURY-VÁR Kft. TDM szervezet alapítói hozzáj. (2017-ig 4.953 E Ft)</t>
  </si>
  <si>
    <t xml:space="preserve">Vagyonhasznosítás kiadásai (ökorm. vagyonnal való gazd. ) </t>
  </si>
  <si>
    <t>Közterület használati díj</t>
  </si>
  <si>
    <t>Pénzmaradvány:</t>
  </si>
  <si>
    <t>Hírcentrum Kft. működési támogatás</t>
  </si>
  <si>
    <t>maradvány</t>
  </si>
  <si>
    <t>2020. évi előirányzat</t>
  </si>
  <si>
    <t xml:space="preserve">Egyéb felhalmozási célú kiadások </t>
  </si>
  <si>
    <t xml:space="preserve">Ringató Bölcsőde </t>
  </si>
  <si>
    <t>Polgármesteri Hivatal</t>
  </si>
  <si>
    <t>Összevont Óvoda és Bőlcsöde</t>
  </si>
  <si>
    <t>Bérlemények, bérlakások</t>
  </si>
  <si>
    <t>Önkormányzati vagyon felújítása</t>
  </si>
  <si>
    <t>-</t>
  </si>
  <si>
    <t>Viziközmű vagyonkezelési díj bevétel</t>
  </si>
  <si>
    <t xml:space="preserve">Sportszervezetek támogatása </t>
  </si>
  <si>
    <t>Felsőoktatási ösztöndíj pályázat</t>
  </si>
  <si>
    <t>2019.</t>
  </si>
  <si>
    <t>Munkáltatót terhelő járulékok</t>
  </si>
  <si>
    <t>Működési célú kiadások ÁH-on kívülre</t>
  </si>
  <si>
    <t>Működési célú kiadások ÁH-on belülre</t>
  </si>
  <si>
    <t>Egyéb felhalmozási célú kiadások ÁH-on belülre</t>
  </si>
  <si>
    <t>Egyéb felhalmozási célú kiadások ÁH-on kívülre</t>
  </si>
  <si>
    <t>Kiadások összesen</t>
  </si>
  <si>
    <t>Bevételek összesen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</si>
  <si>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</si>
  <si>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</si>
  <si>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</si>
  <si>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</si>
  <si>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</si>
  <si>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</si>
  <si>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</si>
  <si>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</si>
  <si>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</si>
  <si>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</si>
  <si>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</si>
  <si>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</si>
  <si>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adatok e Ft-ban</t>
  </si>
  <si>
    <t>Várpalota Város Önkormányzat adósságot keletkeztető ügyletekből és kezességvállalásokból fennálló kötelezettségeinek bemutatása az Áht. 29/A §-a alapján</t>
  </si>
  <si>
    <t xml:space="preserve"> forintban !</t>
  </si>
  <si>
    <t>Összesen
(7=3+4+5+6)</t>
  </si>
  <si>
    <t>Díjak, pótlékok. Bírságok</t>
  </si>
  <si>
    <t>Immateriális javak, ingatlanok és egyéb tárgyieszközök értékesítése</t>
  </si>
  <si>
    <t>Részesedések értékesítése és részedések megszűnéséhez kapcsolódó bevételek</t>
  </si>
  <si>
    <t>Privatizációból származó bevételek</t>
  </si>
  <si>
    <t>Garancia- és kezességvállalásból származó bevételek</t>
  </si>
  <si>
    <t xml:space="preserve">Saját bevétel </t>
  </si>
  <si>
    <t>Saját bevétel 50%-a</t>
  </si>
  <si>
    <t>Előző év(ek)ben keletkezett tárgyévet terhelő fizetési kötelezettség</t>
  </si>
  <si>
    <t>Hitelből eredő fizetési kötelezettség</t>
  </si>
  <si>
    <t>Kölcsönből eredő fizetési kötelezettség</t>
  </si>
  <si>
    <t>Hitelviszonyt megtestesítő értékpapírból eredő fizetési kötelezettség</t>
  </si>
  <si>
    <t>Adott váltóból eredő fizetési kötelezettség</t>
  </si>
  <si>
    <t>Pénzügyi lízingből eredő fizetési kötelezettség</t>
  </si>
  <si>
    <t>Halasztott fizetés,részletfizetési kötelezettség</t>
  </si>
  <si>
    <t>Kezesség- és garanciavállalásból eredő fizetési kötelezettség</t>
  </si>
  <si>
    <t>Tárgy évben keletkezett, illetve keletkező tárgyévet terhelő fizetési kötelezettség</t>
  </si>
  <si>
    <t>Fizetési kötelezettség összesen</t>
  </si>
  <si>
    <t>Fizetési kötelezettséggel csökkentett saját bevétel összesen</t>
  </si>
  <si>
    <t>2020.</t>
  </si>
  <si>
    <t>2021.</t>
  </si>
  <si>
    <t>TOP-1.2.1-15 Társadalmi és környezeti szempontból fenntartható turizmusfejlesztés</t>
  </si>
  <si>
    <t>TOP-4.1.1-15 Eü-i alapellátás infrastruktúrális fejlesztése</t>
  </si>
  <si>
    <t>TOP-5.1.2-15 Foglalkoztatási együttműködések a Várpalotai Járásban</t>
  </si>
  <si>
    <t>TOP-2.1.2-15 Zöld város kialakítása Várpalotán</t>
  </si>
  <si>
    <t>TOP-3.1.1-15 Fenntartható közlekedés fejlesztés</t>
  </si>
  <si>
    <t>TOP-4.2.1-15 Szociális alapszolgáltatások infrastruktúrájának bővítése Várpalotán</t>
  </si>
  <si>
    <t>TOP-5.2.1-15 A Társadalmi együttműködés erősítését szolgáló helyi szintű komplex programok</t>
  </si>
  <si>
    <t>2019. évi beruházások és egyéb felhalmozási kiadások előirányzata</t>
  </si>
  <si>
    <t>Önkormányzaton kívüli EU-s projektekhez történő hozzájárulás 2019. évi előirányzat</t>
  </si>
  <si>
    <t>2020. után</t>
  </si>
  <si>
    <t>2019. évi felújítási előirányzata</t>
  </si>
  <si>
    <t>Várpalota Város Önkormányzatának működési és felhalmozási költségvetési bevételei és kiadásai 2019. évben</t>
  </si>
  <si>
    <t>2021. évi előirányzat</t>
  </si>
  <si>
    <t>a közvetett támogatásokról 2019.</t>
  </si>
  <si>
    <t xml:space="preserve">Hitelfelvétel </t>
  </si>
  <si>
    <t>Tőke-törlesztés</t>
  </si>
  <si>
    <t xml:space="preserve">Kamat  és kamat jellegű kiadások </t>
  </si>
  <si>
    <t xml:space="preserve">Tőke-törlesztés </t>
  </si>
  <si>
    <t>2022.</t>
  </si>
  <si>
    <t>Előirányzatfelhasználási ütemterv 2019.</t>
  </si>
  <si>
    <t>Várpalota Város Önkormányzat 2019. évi adósságot keletkeztető fejlesztési céljai</t>
  </si>
  <si>
    <t xml:space="preserve">Hitel-állomány  </t>
  </si>
  <si>
    <t xml:space="preserve">Hitel-állomány </t>
  </si>
  <si>
    <t>Pályázatok önrészei</t>
  </si>
  <si>
    <t>EFOP-1.5.2-16/2017-00010 Humán szolgáltatások fejlesztése Várpalota térségben</t>
  </si>
  <si>
    <t>General Medicina Kft. Támogatása</t>
  </si>
  <si>
    <t>Háziorvosi, fogorvosi alapellátás</t>
  </si>
  <si>
    <t>1493/2018. (X.10.) kormányhatározattal biztosított támogatás</t>
  </si>
  <si>
    <t>Könyvtári érdekeltsétgnövelő támogatás</t>
  </si>
  <si>
    <t>Önkormányzati feladatellátást szolgáló fejlesztések önrésszel</t>
  </si>
  <si>
    <t xml:space="preserve">Kamerarendszer </t>
  </si>
  <si>
    <t>Thury Sport Kft. támogatása</t>
  </si>
  <si>
    <t>Várpalotai Polgárőrség</t>
  </si>
  <si>
    <t>Céltartalék (víziközmű fejlesztések)</t>
  </si>
  <si>
    <t>InAirQ  CE69 pályázat</t>
  </si>
  <si>
    <t>TOP-1.2.1-15 Társadalmi és környezeti szempontból fenntartható turizmus fejlesztés</t>
  </si>
  <si>
    <t>TOP-3.1.1-15 Fenntartható közlekedésfejlesztés</t>
  </si>
  <si>
    <t>TOP-4.1.1-15 Egészségügyi alapellátás infrastrukturális fejlesztése</t>
  </si>
  <si>
    <t>TOP-5.1.2-15 Foglalkoztatási együttműködések</t>
  </si>
  <si>
    <t>TOP-5.2.1-15 A társadalmi együttűködés erősítését szolgáló helyi szintű komplex programok</t>
  </si>
  <si>
    <t>Szemünkfénye továbbszámlázás</t>
  </si>
  <si>
    <t>Kiegyenlítő bérrendezés pályázat</t>
  </si>
  <si>
    <t>Vagyonhasznosítás bevételei</t>
  </si>
  <si>
    <t>2018. évi pénzmaradvány</t>
  </si>
  <si>
    <t>Fűtőmű vagyonkezelési díj</t>
  </si>
  <si>
    <t>Önkormányzati feladatok és egyéb kötelezettségek kiadásai 2019. év</t>
  </si>
  <si>
    <t>Várpalota Város Önkormányzatának 2019. évi bevételei</t>
  </si>
  <si>
    <t>Várpalota Város Önkormányzata Intézményeinek 2019. évi bevételei</t>
  </si>
  <si>
    <t>Közvetített szolgáltatások ellenértéke</t>
  </si>
  <si>
    <t>EFOP-1.2.9-17 Nők a családban és a munkahelyen-Várpalota pályázat</t>
  </si>
  <si>
    <t>Várpalota Város Önkormányzata Intézményeinek 2019. évi kiadásai</t>
  </si>
  <si>
    <t>Tartalékok</t>
  </si>
  <si>
    <t>Bérlemények, bérlakások eszköz beszerzései</t>
  </si>
  <si>
    <t>Gyermekétkeztetés (iskolai konyhák) beszerzései</t>
  </si>
  <si>
    <t>IÜSZ eszközbeszerzései</t>
  </si>
  <si>
    <t>1493/2018. (X.10.) kormányhatározat eszközbeszerzések</t>
  </si>
  <si>
    <t>Közutak, hidak beruházásai</t>
  </si>
  <si>
    <t>Közvilágítás beruházás (bővítés)</t>
  </si>
  <si>
    <t>Szemünkfénye program készülékek megvásárlása</t>
  </si>
  <si>
    <t>Vagyonhasznosítás beruházásai, beszerzései</t>
  </si>
  <si>
    <t>Városüzemeltetés beszerzései</t>
  </si>
  <si>
    <t>Pályázatok beruházásai, eszközbeszerzései</t>
  </si>
  <si>
    <t>Gyerekbútorok, konyhai eszközök beszerzése</t>
  </si>
  <si>
    <t>informatikai eszközök beszerzése</t>
  </si>
  <si>
    <t>bútorok, eszközök beszrezése</t>
  </si>
  <si>
    <t>informatikai eszközök cseréje</t>
  </si>
  <si>
    <t>bútorok, konyhai eszközök beszerzései</t>
  </si>
  <si>
    <t>konyhai eszközök beszerzése</t>
  </si>
  <si>
    <t>2018. évi maradvány</t>
  </si>
  <si>
    <t>A projekt neve: InAirQ CE069 projekt</t>
  </si>
  <si>
    <t>2012. után</t>
  </si>
  <si>
    <t xml:space="preserve">2019. </t>
  </si>
  <si>
    <t>2019. után</t>
  </si>
  <si>
    <t>A projekt neve:</t>
  </si>
  <si>
    <t>EFOP-1.5-16/2017-00010 Humán szolgáltatások Várpalota térségében</t>
  </si>
  <si>
    <t>2018.</t>
  </si>
  <si>
    <t>Ellátottak pénzebli juttatásai</t>
  </si>
  <si>
    <t>Egyéb működési célú pe. átadás</t>
  </si>
  <si>
    <t>TOP-3.2.1-16-VE2-2017-00001 Fenntartható Energia és Klíma Akcióterv kidolgozása Veszprém Megyében (SECAP)</t>
  </si>
  <si>
    <t>TOP-3.2.1-16 SECAP pályázat</t>
  </si>
  <si>
    <t>TOP-3.2.1-16 SECAP</t>
  </si>
  <si>
    <t>Közutak, közvilágítás felújítása</t>
  </si>
  <si>
    <t>Pályázatok felújítási kiadásai</t>
  </si>
  <si>
    <t>Utak fenntartása (kátyúzás)</t>
  </si>
  <si>
    <t>Röntgen készülék vásárlása</t>
  </si>
  <si>
    <t>TOP-4.1.1-15 Szociális alapszolgáltatások fejlesztése Várpalotán</t>
  </si>
  <si>
    <t>1. melléklet a 2/2019. (II.28.) önkormányzati rendelethez</t>
  </si>
  <si>
    <t>2. melléklet a 2/2019. (II.28.) önkormányzati rendelethez</t>
  </si>
  <si>
    <t>3. melléklet a 2/2019. (II.28.) önkormányzati rendelethez</t>
  </si>
  <si>
    <t>4. melléklet a 2/2019. (II.28.) önkormányzati rendelethez</t>
  </si>
  <si>
    <t>5. melléklet a  2/2019. (II.28.) önkormányzati rendelethez</t>
  </si>
  <si>
    <t>6. melléklet a  2/2019. (II.28.) önkormányzati rendelethez</t>
  </si>
  <si>
    <t>7.1. melléklet a 2/2019. (II.28.) önkormányzati rendelethez</t>
  </si>
  <si>
    <t>7.2. melléklet a 2/2019. (II.28.) önkormányzati rendelethez</t>
  </si>
  <si>
    <t>7.3. melléklet a 2/2019. (II.28.) önkormányzati rendelethez</t>
  </si>
  <si>
    <t>7.4. melléklet a 2/2019. (II.28.) önkormányzati rendelethez</t>
  </si>
  <si>
    <t>7.5. melléklet a 2/2019. (II.28.) önkormányzati rendelethez</t>
  </si>
  <si>
    <t>7.6. melléklet a 2/2019. (II.28.) önkormányzati rendelethez</t>
  </si>
  <si>
    <t>7.7. melléklet a 2/2019. (II.28.) önkormányzati rendelethez</t>
  </si>
  <si>
    <t>7.8. melléklet a 2/2019. (II.28.) önkormányzati rendelethez</t>
  </si>
  <si>
    <t>7.9. melléklet a 2/2019. (II.28.) önkormányzati rendelethez</t>
  </si>
  <si>
    <t>7.10. melléklet a 2/2019. (II.28.) önkormányzati rendelethez</t>
  </si>
  <si>
    <t>8. melléklet a 2/2019. (II.28.) önkormányzati rendelethez</t>
  </si>
  <si>
    <t>9. melléklet a 2/2019. (II.28.) önkormányzati rendelethez</t>
  </si>
  <si>
    <t>10. melléklet a 2/2019. (II.28.) önkormányzati rendelethez</t>
  </si>
  <si>
    <t>11. melléklet a 2/2019. (II.28.) önkormányzati rendelethez</t>
  </si>
  <si>
    <t>12. melléklet a 2/2019. (II.28.) önkormányzati rendelethez</t>
  </si>
  <si>
    <t>13. melléklet a 2/2019. (II.28.) önkormányzati rendelethez</t>
  </si>
  <si>
    <t>14. melléklet a 2/2019. (II.28.) önkormányzati rendelethez</t>
  </si>
  <si>
    <t>15. melléklet a 2/2019. (II.28.) önkormányzati rendelethez</t>
  </si>
  <si>
    <t>16. melléklet a 2/2019. (II.28.)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</si>
</sst>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F_t_-;\-* #,##0.00\ _F_t_-;_-* \-??\ _F_t_-;_-@_-"/>
    <numFmt numFmtId="165" formatCode="#,###"/>
    <numFmt numFmtId="166" formatCode="0.0"/>
    <numFmt numFmtId="167" formatCode="0.0%"/>
    <numFmt numFmtId="168" formatCode="yyyy\-mm\-dd"/>
    <numFmt numFmtId="169" formatCode="_-* #,##0\ _F_t_-;\-* #,##0\ _F_t_-;_-* \-??\ _F_t_-;_-@_-"/>
  </numFmts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Palatino Linotype"/>
      <family val="1"/>
      <charset val="238"/>
    </font>
    <font>
      <sz val="12"/>
      <name val="Palatino Linotype"/>
      <family val="1"/>
      <charset val="238"/>
    </font>
    <font>
      <sz val="9"/>
      <name val="Times New Roman CE"/>
      <family val="1"/>
      <charset val="238"/>
    </font>
    <font>
      <sz val="9"/>
      <color indexed="8"/>
      <name val="Calibri"/>
      <family val="2"/>
      <charset val="238"/>
    </font>
    <font>
      <b/>
      <sz val="10"/>
      <name val="Palatino Linotype"/>
      <family val="1"/>
      <charset val="238"/>
    </font>
    <font>
      <b/>
      <i/>
      <sz val="10"/>
      <name val="Palatino Linotype"/>
      <family val="1"/>
      <charset val="238"/>
    </font>
    <font>
      <b/>
      <i/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10"/>
      <name val="Palatino Linotype"/>
      <family val="1"/>
      <charset val="238"/>
    </font>
    <font>
      <sz val="9"/>
      <name val="Palatino Linotype"/>
      <family val="1"/>
      <charset val="238"/>
    </font>
    <font>
      <i/>
      <sz val="10"/>
      <name val="Palatino Linotype"/>
      <family val="1"/>
      <charset val="238"/>
    </font>
    <font>
      <i/>
      <sz val="9"/>
      <name val="Palatino Linotype"/>
      <family val="1"/>
      <charset val="238"/>
    </font>
    <font>
      <b/>
      <sz val="9"/>
      <color indexed="8"/>
      <name val="Segoe UI"/>
      <family val="2"/>
      <charset val="238"/>
    </font>
    <font>
      <sz val="12"/>
      <color indexed="8"/>
      <name val="Palatino Linotype"/>
      <family val="1"/>
      <charset val="238"/>
    </font>
    <font>
      <sz val="9"/>
      <color indexed="8"/>
      <name val="Palatino Linotype"/>
      <family val="1"/>
      <charset val="238"/>
    </font>
    <font>
      <b/>
      <sz val="12"/>
      <color indexed="8"/>
      <name val="Palatino Linotype"/>
      <family val="1"/>
      <charset val="238"/>
    </font>
    <font>
      <sz val="10"/>
      <color indexed="8"/>
      <name val="Palatino Linotype"/>
      <family val="1"/>
      <charset val="238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Palatino Linotype"/>
      <family val="1"/>
      <charset val="238"/>
    </font>
    <font>
      <b/>
      <sz val="12"/>
      <color indexed="8"/>
      <name val="Palatino Linotype"/>
      <family val="1"/>
      <charset val="1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Palatino Linotype"/>
      <family val="1"/>
      <charset val="238"/>
    </font>
    <font>
      <sz val="11"/>
      <color indexed="8"/>
      <name val="Palatino Linotype"/>
      <family val="1"/>
      <charset val="238"/>
    </font>
    <font>
      <b/>
      <sz val="11"/>
      <color indexed="8"/>
      <name val="Palatino Linotype"/>
      <family val="1"/>
      <charset val="238"/>
    </font>
    <font>
      <i/>
      <sz val="12"/>
      <color indexed="8"/>
      <name val="Palatino Linotype"/>
      <family val="1"/>
      <charset val="238"/>
    </font>
    <font>
      <i/>
      <sz val="12"/>
      <name val="Palatino Linotype"/>
      <family val="1"/>
      <charset val="238"/>
    </font>
    <font>
      <b/>
      <sz val="8"/>
      <name val="Palatino Linotype"/>
      <family val="1"/>
      <charset val="238"/>
    </font>
    <font>
      <b/>
      <u/>
      <sz val="10"/>
      <name val="Palatino Linotype"/>
      <family val="1"/>
      <charset val="238"/>
    </font>
    <font>
      <sz val="8"/>
      <name val="Palatino Linotype"/>
      <family val="1"/>
      <charset val="238"/>
    </font>
    <font>
      <sz val="11"/>
      <name val="Palatino Linotype"/>
      <family val="1"/>
      <charset val="238"/>
    </font>
    <font>
      <b/>
      <sz val="11"/>
      <name val="Palatino Linotype"/>
      <family val="1"/>
      <charset val="238"/>
    </font>
    <font>
      <i/>
      <sz val="11"/>
      <name val="Palatino Linotype"/>
      <family val="1"/>
      <charset val="238"/>
    </font>
    <font>
      <b/>
      <sz val="13"/>
      <name val="Palatino Linotype"/>
      <family val="1"/>
      <charset val="238"/>
    </font>
    <font>
      <sz val="9"/>
      <name val="Times New Roman"/>
      <family val="1"/>
      <charset val="238"/>
    </font>
    <font>
      <sz val="11"/>
      <name val="Times New Roman CE"/>
      <family val="1"/>
      <charset val="238"/>
    </font>
    <font>
      <b/>
      <i/>
      <sz val="11"/>
      <name val="Palatino Linotype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b/>
      <sz val="12"/>
      <name val="Palatino Linotype"/>
      <family val="1"/>
      <charset val="1"/>
    </font>
    <font>
      <sz val="12"/>
      <name val="Palatino Linotype"/>
      <family val="1"/>
      <charset val="1"/>
    </font>
    <font>
      <b/>
      <u/>
      <sz val="12"/>
      <name val="Palatino Linotype"/>
      <family val="1"/>
      <charset val="238"/>
    </font>
    <font>
      <sz val="12"/>
      <name val="Times New Roman CE"/>
      <charset val="238"/>
    </font>
    <font>
      <sz val="8"/>
      <color indexed="8"/>
      <name val="Palatino Linotype"/>
      <family val="1"/>
      <charset val="238"/>
    </font>
    <font>
      <sz val="7"/>
      <color indexed="8"/>
      <name val="Palatino Linotype"/>
      <family val="1"/>
      <charset val="238"/>
    </font>
    <font>
      <b/>
      <sz val="7"/>
      <color indexed="8"/>
      <name val="Palatino Linotype"/>
      <family val="1"/>
      <charset val="238"/>
    </font>
    <font>
      <b/>
      <sz val="8"/>
      <color indexed="8"/>
      <name val="Palatino Linotype"/>
      <family val="1"/>
      <charset val="238"/>
    </font>
    <font>
      <sz val="9"/>
      <color theme="1" tint="4.9989318521683403E-2"/>
      <name val="Calibri"/>
      <family val="2"/>
      <charset val="238"/>
    </font>
    <font>
      <sz val="11"/>
      <color theme="1" tint="4.9989318521683403E-2"/>
      <name val="Calibri"/>
      <family val="2"/>
      <charset val="238"/>
    </font>
    <font>
      <sz val="10"/>
      <color theme="1" tint="4.9989318521683403E-2"/>
      <name val="Palatino Linotype"/>
      <family val="1"/>
      <charset val="238"/>
    </font>
    <font>
      <sz val="12"/>
      <color theme="1" tint="4.9989318521683403E-2"/>
      <name val="Palatino Linotype"/>
      <family val="1"/>
      <charset val="238"/>
    </font>
    <font>
      <b/>
      <sz val="12"/>
      <color theme="1" tint="4.9989318521683403E-2"/>
      <name val="Palatino Linotype"/>
      <family val="1"/>
      <charset val="238"/>
    </font>
    <font>
      <sz val="9"/>
      <color theme="1" tint="4.9989318521683403E-2"/>
      <name val="Palatino Linotype"/>
      <family val="1"/>
      <charset val="238"/>
    </font>
    <font>
      <sz val="10"/>
      <color theme="1" tint="4.9989318521683403E-2"/>
      <name val="Arial"/>
      <family val="2"/>
      <charset val="238"/>
    </font>
    <font>
      <b/>
      <sz val="12"/>
      <color theme="1" tint="4.9989318521683403E-2"/>
      <name val="Palatino Linotype"/>
      <family val="1"/>
      <charset val="1"/>
    </font>
    <font>
      <i/>
      <sz val="12"/>
      <color theme="1" tint="4.9989318521683403E-2"/>
      <name val="Palatino Linotype"/>
      <family val="1"/>
      <charset val="238"/>
    </font>
    <font>
      <sz val="12"/>
      <color theme="0"/>
      <name val="Palatino Linotype"/>
      <family val="1"/>
      <charset val="238"/>
    </font>
    <font>
      <b/>
      <sz val="12"/>
      <color theme="0"/>
      <name val="Palatino Linotype"/>
      <family val="1"/>
      <charset val="238"/>
    </font>
    <font>
      <b/>
      <u/>
      <sz val="12"/>
      <color theme="0"/>
      <name val="Palatino Linotype"/>
      <family val="1"/>
      <charset val="238"/>
    </font>
    <font>
      <b/>
      <sz val="11"/>
      <color theme="0"/>
      <name val="Calibri"/>
      <family val="2"/>
      <charset val="238"/>
    </font>
    <font>
      <b/>
      <sz val="11"/>
      <color theme="0"/>
      <name val="Times New Roman"/>
      <family val="1"/>
      <charset val="238"/>
    </font>
    <font>
      <sz val="11"/>
      <color theme="0"/>
      <name val="Calibri"/>
      <family val="2"/>
      <charset val="238"/>
    </font>
    <font>
      <sz val="11"/>
      <color theme="0"/>
      <name val="Times New Roman"/>
      <family val="1"/>
      <charset val="238"/>
    </font>
    <font>
      <sz val="12"/>
      <color theme="0"/>
      <name val="Calibri"/>
      <family val="2"/>
      <charset val="238"/>
    </font>
    <font>
      <sz val="12"/>
      <color theme="1"/>
      <name val="Palatino Linotype"/>
      <family val="1"/>
      <charset val="238"/>
    </font>
    <font>
      <sz val="8"/>
      <color theme="1" tint="4.9989318521683403E-2"/>
      <name val="Palatino Linotype"/>
      <family val="1"/>
      <charset val="238"/>
    </font>
    <font>
      <b/>
      <sz val="12"/>
      <color rgb="FFFF0000"/>
      <name val="Palatino Linotype"/>
      <family val="1"/>
      <charset val="238"/>
    </font>
    <font>
      <sz val="11"/>
      <color theme="1" tint="4.9989318521683403E-2"/>
      <name val="Palatino Linotype"/>
      <family val="1"/>
      <charset val="238"/>
    </font>
    <font>
      <b/>
      <sz val="10"/>
      <color theme="1" tint="4.9989318521683403E-2"/>
      <name val="Palatino Linotype"/>
      <family val="1"/>
      <charset val="238"/>
    </font>
    <font>
      <b/>
      <sz val="9"/>
      <color theme="1" tint="4.9989318521683403E-2"/>
      <name val="Palatino Linotype"/>
      <family val="1"/>
      <charset val="238"/>
    </font>
    <font>
      <b/>
      <sz val="12"/>
      <color rgb="FF000000"/>
      <name val="Palatino Linotype"/>
      <family val="1"/>
      <charset val="238"/>
    </font>
    <font>
      <b/>
      <sz val="10"/>
      <color rgb="FF000000"/>
      <name val="Palatino Linotype"/>
      <family val="1"/>
      <charset val="238"/>
    </font>
    <font>
      <b/>
      <i/>
      <sz val="10"/>
      <color rgb="FF000000"/>
      <name val="Palatino Linotype"/>
      <family val="1"/>
      <charset val="238"/>
    </font>
    <font>
      <sz val="10"/>
      <color rgb="FF000000"/>
      <name val="Palatino Linotype"/>
      <family val="1"/>
      <charset val="238"/>
    </font>
    <font>
      <sz val="9"/>
      <color rgb="FF000000"/>
      <name val="Palatino Linotype"/>
      <family val="1"/>
      <charset val="238"/>
    </font>
    <font>
      <sz val="8"/>
      <color theme="1"/>
      <name val="Palatino Linotype"/>
      <family val="1"/>
      <charset val="238"/>
    </font>
    <font>
      <sz val="10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3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4">
    <xf numFmtId="0" fontId="0" fillId="0" borderId="0"/>
    <xf numFmtId="164" fontId="44" fillId="0" borderId="0" applyFill="0" applyBorder="0" applyAlignment="0" applyProtection="0"/>
    <xf numFmtId="164" fontId="44" fillId="0" borderId="0" applyFill="0" applyBorder="0" applyAlignment="0" applyProtection="0"/>
    <xf numFmtId="164" fontId="44" fillId="0" borderId="0" applyFill="0" applyBorder="0" applyAlignment="0" applyProtection="0"/>
    <xf numFmtId="0" fontId="1" fillId="0" borderId="0"/>
    <xf numFmtId="0" fontId="2" fillId="0" borderId="0"/>
    <xf numFmtId="0" fontId="2" fillId="0" borderId="0"/>
    <xf numFmtId="0" fontId="5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9" fontId="44" fillId="0" borderId="0" applyFill="0" applyBorder="0" applyAlignment="0" applyProtection="0"/>
  </cellStyleXfs>
  <cellXfs count="1063">
    <xf numFmtId="0" fontId="0" fillId="0" borderId="0" xfId="0"/>
    <xf numFmtId="0" fontId="6" fillId="0" borderId="1" xfId="8" applyFont="1" applyBorder="1" applyAlignment="1">
      <alignment horizontal="center" vertical="center"/>
    </xf>
    <xf numFmtId="0" fontId="7" fillId="0" borderId="1" xfId="8" applyFont="1" applyBorder="1" applyAlignment="1">
      <alignment horizontal="center" vertical="center"/>
    </xf>
    <xf numFmtId="0" fontId="6" fillId="0" borderId="1" xfId="8" applyFont="1" applyBorder="1" applyAlignment="1">
      <alignment horizontal="left" vertical="center"/>
    </xf>
    <xf numFmtId="0" fontId="7" fillId="0" borderId="0" xfId="8" applyFont="1" applyBorder="1"/>
    <xf numFmtId="0" fontId="7" fillId="0" borderId="0" xfId="8" applyFont="1" applyBorder="1" applyAlignment="1">
      <alignment horizontal="center"/>
    </xf>
    <xf numFmtId="0" fontId="7" fillId="0" borderId="0" xfId="8" applyFont="1" applyFill="1" applyBorder="1"/>
    <xf numFmtId="0" fontId="9" fillId="0" borderId="0" xfId="0" applyFont="1"/>
    <xf numFmtId="0" fontId="10" fillId="0" borderId="2" xfId="20" applyFont="1" applyFill="1" applyBorder="1" applyAlignment="1" applyProtection="1">
      <alignment horizontal="center" vertical="center" wrapText="1"/>
    </xf>
    <xf numFmtId="3" fontId="19" fillId="0" borderId="0" xfId="10" applyNumberFormat="1" applyFont="1" applyFill="1"/>
    <xf numFmtId="3" fontId="20" fillId="0" borderId="0" xfId="10" applyNumberFormat="1" applyFont="1" applyFill="1" applyAlignment="1">
      <alignment horizontal="center" vertical="top"/>
    </xf>
    <xf numFmtId="3" fontId="19" fillId="0" borderId="0" xfId="10" applyNumberFormat="1" applyFont="1" applyFill="1" applyAlignment="1">
      <alignment wrapText="1"/>
    </xf>
    <xf numFmtId="3" fontId="20" fillId="0" borderId="0" xfId="10" applyNumberFormat="1" applyFont="1" applyFill="1"/>
    <xf numFmtId="3" fontId="20" fillId="0" borderId="0" xfId="10" applyNumberFormat="1" applyFont="1" applyFill="1" applyBorder="1" applyAlignment="1">
      <alignment horizontal="left"/>
    </xf>
    <xf numFmtId="3" fontId="19" fillId="0" borderId="0" xfId="10" applyNumberFormat="1" applyFont="1" applyFill="1" applyAlignment="1">
      <alignment vertical="center"/>
    </xf>
    <xf numFmtId="0" fontId="21" fillId="0" borderId="0" xfId="10" applyFont="1" applyFill="1" applyBorder="1" applyAlignment="1">
      <alignment wrapText="1"/>
    </xf>
    <xf numFmtId="3" fontId="22" fillId="0" borderId="0" xfId="10" applyNumberFormat="1" applyFont="1" applyFill="1" applyAlignment="1">
      <alignment horizontal="center"/>
    </xf>
    <xf numFmtId="3" fontId="22" fillId="0" borderId="0" xfId="10" applyNumberFormat="1" applyFont="1" applyFill="1" applyBorder="1" applyAlignment="1">
      <alignment horizontal="center" vertical="top"/>
    </xf>
    <xf numFmtId="3" fontId="22" fillId="0" borderId="0" xfId="10" applyNumberFormat="1" applyFont="1" applyFill="1" applyBorder="1" applyAlignment="1">
      <alignment horizontal="center" wrapText="1"/>
    </xf>
    <xf numFmtId="3" fontId="22" fillId="0" borderId="0" xfId="10" applyNumberFormat="1" applyFont="1" applyFill="1" applyBorder="1" applyAlignment="1">
      <alignment horizontal="center"/>
    </xf>
    <xf numFmtId="3" fontId="19" fillId="0" borderId="3" xfId="10" applyNumberFormat="1" applyFont="1" applyFill="1" applyBorder="1" applyAlignment="1">
      <alignment horizontal="center"/>
    </xf>
    <xf numFmtId="3" fontId="19" fillId="0" borderId="4" xfId="10" applyNumberFormat="1" applyFont="1" applyFill="1" applyBorder="1" applyAlignment="1">
      <alignment horizontal="center"/>
    </xf>
    <xf numFmtId="3" fontId="21" fillId="0" borderId="5" xfId="10" applyNumberFormat="1" applyFont="1" applyFill="1" applyBorder="1" applyAlignment="1">
      <alignment vertical="center" wrapText="1"/>
    </xf>
    <xf numFmtId="3" fontId="19" fillId="0" borderId="0" xfId="10" applyNumberFormat="1" applyFont="1" applyFill="1" applyAlignment="1">
      <alignment horizontal="right"/>
    </xf>
    <xf numFmtId="3" fontId="20" fillId="0" borderId="0" xfId="10" applyNumberFormat="1" applyFont="1" applyFill="1" applyAlignment="1">
      <alignment horizontal="right"/>
    </xf>
    <xf numFmtId="0" fontId="28" fillId="0" borderId="0" xfId="4" applyFont="1" applyFill="1"/>
    <xf numFmtId="3" fontId="30" fillId="0" borderId="6" xfId="5" applyNumberFormat="1" applyFont="1" applyFill="1" applyBorder="1" applyAlignment="1">
      <alignment horizontal="center" vertical="center" wrapText="1"/>
    </xf>
    <xf numFmtId="3" fontId="19" fillId="0" borderId="3" xfId="10" applyNumberFormat="1" applyFont="1" applyFill="1" applyBorder="1" applyAlignment="1">
      <alignment horizontal="right"/>
    </xf>
    <xf numFmtId="3" fontId="19" fillId="0" borderId="4" xfId="10" applyNumberFormat="1" applyFont="1" applyFill="1" applyBorder="1" applyAlignment="1">
      <alignment horizontal="right"/>
    </xf>
    <xf numFmtId="3" fontId="21" fillId="0" borderId="7" xfId="10" applyNumberFormat="1" applyFont="1" applyFill="1" applyBorder="1" applyAlignment="1">
      <alignment horizontal="right"/>
    </xf>
    <xf numFmtId="3" fontId="21" fillId="0" borderId="3" xfId="10" applyNumberFormat="1" applyFont="1" applyFill="1" applyBorder="1" applyAlignment="1">
      <alignment horizontal="right"/>
    </xf>
    <xf numFmtId="3" fontId="21" fillId="0" borderId="4" xfId="10" applyNumberFormat="1" applyFont="1" applyFill="1" applyBorder="1" applyAlignment="1">
      <alignment horizontal="right"/>
    </xf>
    <xf numFmtId="3" fontId="26" fillId="0" borderId="7" xfId="10" applyNumberFormat="1" applyFont="1" applyFill="1" applyBorder="1" applyAlignment="1">
      <alignment horizontal="right"/>
    </xf>
    <xf numFmtId="3" fontId="26" fillId="0" borderId="3" xfId="10" applyNumberFormat="1" applyFont="1" applyFill="1" applyBorder="1" applyAlignment="1">
      <alignment horizontal="right"/>
    </xf>
    <xf numFmtId="3" fontId="26" fillId="0" borderId="4" xfId="10" applyNumberFormat="1" applyFont="1" applyFill="1" applyBorder="1" applyAlignment="1">
      <alignment horizontal="right"/>
    </xf>
    <xf numFmtId="3" fontId="21" fillId="0" borderId="5" xfId="10" applyNumberFormat="1" applyFont="1" applyFill="1" applyBorder="1" applyAlignment="1">
      <alignment horizontal="right" vertical="center"/>
    </xf>
    <xf numFmtId="3" fontId="21" fillId="0" borderId="8" xfId="10" applyNumberFormat="1" applyFont="1" applyFill="1" applyBorder="1" applyAlignment="1">
      <alignment horizontal="right" vertical="center"/>
    </xf>
    <xf numFmtId="3" fontId="19" fillId="0" borderId="0" xfId="10" applyNumberFormat="1" applyFont="1" applyFill="1" applyAlignment="1">
      <alignment horizontal="center"/>
    </xf>
    <xf numFmtId="0" fontId="23" fillId="0" borderId="0" xfId="0" applyFont="1"/>
    <xf numFmtId="0" fontId="0" fillId="0" borderId="0" xfId="0" applyFont="1"/>
    <xf numFmtId="3" fontId="30" fillId="0" borderId="9" xfId="10" applyNumberFormat="1" applyFont="1" applyFill="1" applyBorder="1" applyAlignment="1">
      <alignment horizontal="center" vertical="center" wrapText="1"/>
    </xf>
    <xf numFmtId="3" fontId="30" fillId="0" borderId="9" xfId="5" applyNumberFormat="1" applyFont="1" applyFill="1" applyBorder="1" applyAlignment="1">
      <alignment horizontal="center" vertical="center" wrapText="1"/>
    </xf>
    <xf numFmtId="3" fontId="30" fillId="0" borderId="9" xfId="10" applyNumberFormat="1" applyFont="1" applyFill="1" applyBorder="1" applyAlignment="1">
      <alignment horizontal="center" vertical="center" wrapText="1" shrinkToFit="1"/>
    </xf>
    <xf numFmtId="3" fontId="30" fillId="0" borderId="10" xfId="5" applyNumberFormat="1" applyFont="1" applyFill="1" applyBorder="1" applyAlignment="1">
      <alignment horizontal="center" vertical="center" wrapText="1"/>
    </xf>
    <xf numFmtId="3" fontId="19" fillId="0" borderId="11" xfId="10" applyNumberFormat="1" applyFont="1" applyFill="1" applyBorder="1" applyAlignment="1">
      <alignment horizontal="center"/>
    </xf>
    <xf numFmtId="3" fontId="19" fillId="0" borderId="12" xfId="10" applyNumberFormat="1" applyFont="1" applyFill="1" applyBorder="1" applyAlignment="1">
      <alignment horizontal="center"/>
    </xf>
    <xf numFmtId="3" fontId="21" fillId="0" borderId="3" xfId="19" applyNumberFormat="1" applyFont="1" applyFill="1" applyBorder="1" applyAlignment="1">
      <alignment wrapText="1"/>
    </xf>
    <xf numFmtId="3" fontId="19" fillId="0" borderId="3" xfId="10" applyNumberFormat="1" applyFont="1" applyFill="1" applyBorder="1" applyAlignment="1">
      <alignment horizontal="center" vertical="center" wrapText="1"/>
    </xf>
    <xf numFmtId="3" fontId="21" fillId="0" borderId="12" xfId="10" applyNumberFormat="1" applyFont="1" applyFill="1" applyBorder="1" applyAlignment="1">
      <alignment horizontal="right"/>
    </xf>
    <xf numFmtId="3" fontId="19" fillId="0" borderId="12" xfId="10" applyNumberFormat="1" applyFont="1" applyFill="1" applyBorder="1" applyAlignment="1">
      <alignment horizontal="right"/>
    </xf>
    <xf numFmtId="3" fontId="21" fillId="0" borderId="11" xfId="10" applyNumberFormat="1" applyFont="1" applyFill="1" applyBorder="1" applyAlignment="1">
      <alignment horizontal="right"/>
    </xf>
    <xf numFmtId="3" fontId="21" fillId="0" borderId="13" xfId="10" applyNumberFormat="1" applyFont="1" applyFill="1" applyBorder="1" applyAlignment="1">
      <alignment horizontal="right"/>
    </xf>
    <xf numFmtId="3" fontId="21" fillId="0" borderId="14" xfId="10" applyNumberFormat="1" applyFont="1" applyFill="1" applyBorder="1" applyAlignment="1">
      <alignment horizontal="right"/>
    </xf>
    <xf numFmtId="3" fontId="19" fillId="0" borderId="11" xfId="10" applyNumberFormat="1" applyFont="1" applyFill="1" applyBorder="1" applyAlignment="1">
      <alignment horizontal="right"/>
    </xf>
    <xf numFmtId="3" fontId="21" fillId="0" borderId="15" xfId="10" applyNumberFormat="1" applyFont="1" applyFill="1" applyBorder="1" applyAlignment="1">
      <alignment horizontal="right"/>
    </xf>
    <xf numFmtId="3" fontId="32" fillId="0" borderId="3" xfId="19" applyNumberFormat="1" applyFont="1" applyFill="1" applyBorder="1" applyAlignment="1">
      <alignment horizontal="left" wrapText="1" indent="1"/>
    </xf>
    <xf numFmtId="3" fontId="32" fillId="0" borderId="3" xfId="5" applyNumberFormat="1" applyFont="1" applyFill="1" applyBorder="1" applyAlignment="1">
      <alignment horizontal="left" indent="1"/>
    </xf>
    <xf numFmtId="3" fontId="21" fillId="0" borderId="3" xfId="5" applyNumberFormat="1" applyFont="1" applyFill="1" applyBorder="1" applyAlignment="1">
      <alignment horizontal="left"/>
    </xf>
    <xf numFmtId="3" fontId="19" fillId="0" borderId="3" xfId="5" applyNumberFormat="1" applyFont="1" applyFill="1" applyBorder="1" applyAlignment="1">
      <alignment horizontal="center" vertical="center"/>
    </xf>
    <xf numFmtId="3" fontId="19" fillId="0" borderId="7" xfId="5" applyNumberFormat="1" applyFont="1" applyFill="1" applyBorder="1" applyAlignment="1">
      <alignment horizontal="center" vertical="center"/>
    </xf>
    <xf numFmtId="0" fontId="33" fillId="0" borderId="3" xfId="6" applyFont="1" applyBorder="1" applyAlignment="1">
      <alignment horizontal="left" indent="1"/>
    </xf>
    <xf numFmtId="3" fontId="19" fillId="0" borderId="16" xfId="10" applyNumberFormat="1" applyFont="1" applyFill="1" applyBorder="1" applyAlignment="1">
      <alignment horizontal="center"/>
    </xf>
    <xf numFmtId="3" fontId="19" fillId="0" borderId="5" xfId="10" applyNumberFormat="1" applyFont="1" applyFill="1" applyBorder="1" applyAlignment="1">
      <alignment horizontal="center"/>
    </xf>
    <xf numFmtId="0" fontId="14" fillId="0" borderId="0" xfId="22" applyFont="1" applyFill="1" applyBorder="1" applyAlignment="1">
      <alignment horizontal="center"/>
    </xf>
    <xf numFmtId="0" fontId="14" fillId="0" borderId="0" xfId="22" applyFont="1" applyFill="1" applyBorder="1"/>
    <xf numFmtId="0" fontId="14" fillId="0" borderId="0" xfId="22" applyFont="1" applyFill="1" applyBorder="1" applyAlignment="1">
      <alignment horizontal="center" wrapText="1"/>
    </xf>
    <xf numFmtId="3" fontId="14" fillId="0" borderId="0" xfId="22" applyNumberFormat="1" applyFont="1" applyFill="1" applyBorder="1" applyAlignment="1">
      <alignment horizontal="center"/>
    </xf>
    <xf numFmtId="3" fontId="14" fillId="0" borderId="17" xfId="11" applyNumberFormat="1" applyFont="1" applyFill="1" applyBorder="1" applyAlignment="1">
      <alignment horizontal="center" vertical="center" textRotation="90"/>
    </xf>
    <xf numFmtId="3" fontId="14" fillId="0" borderId="18" xfId="11" applyNumberFormat="1" applyFont="1" applyFill="1" applyBorder="1" applyAlignment="1">
      <alignment horizontal="center" vertical="center" textRotation="90"/>
    </xf>
    <xf numFmtId="0" fontId="10" fillId="0" borderId="18" xfId="22" applyFont="1" applyFill="1" applyBorder="1" applyAlignment="1">
      <alignment horizontal="center" vertical="center" wrapText="1"/>
    </xf>
    <xf numFmtId="0" fontId="14" fillId="0" borderId="18" xfId="21" applyFont="1" applyFill="1" applyBorder="1" applyAlignment="1">
      <alignment horizontal="center" vertical="center" textRotation="90" wrapText="1"/>
    </xf>
    <xf numFmtId="3" fontId="14" fillId="0" borderId="20" xfId="11" applyNumberFormat="1" applyFont="1" applyFill="1" applyBorder="1" applyAlignment="1">
      <alignment horizontal="center"/>
    </xf>
    <xf numFmtId="3" fontId="14" fillId="0" borderId="21" xfId="11" applyNumberFormat="1" applyFont="1" applyFill="1" applyBorder="1" applyAlignment="1">
      <alignment horizontal="center" vertical="center" textRotation="90"/>
    </xf>
    <xf numFmtId="0" fontId="35" fillId="0" borderId="22" xfId="22" applyFont="1" applyFill="1" applyBorder="1" applyAlignment="1">
      <alignment horizontal="left" vertical="center" wrapText="1"/>
    </xf>
    <xf numFmtId="0" fontId="14" fillId="0" borderId="21" xfId="21" applyFont="1" applyFill="1" applyBorder="1" applyAlignment="1">
      <alignment horizontal="center" vertical="center" textRotation="90" wrapText="1"/>
    </xf>
    <xf numFmtId="3" fontId="10" fillId="0" borderId="21" xfId="22" applyNumberFormat="1" applyFont="1" applyFill="1" applyBorder="1" applyAlignment="1">
      <alignment horizontal="right" vertical="center" wrapText="1"/>
    </xf>
    <xf numFmtId="0" fontId="14" fillId="0" borderId="24" xfId="22" applyFont="1" applyFill="1" applyBorder="1" applyAlignment="1">
      <alignment horizontal="center"/>
    </xf>
    <xf numFmtId="0" fontId="14" fillId="0" borderId="3" xfId="22" applyFont="1" applyFill="1" applyBorder="1" applyAlignment="1">
      <alignment horizontal="center" vertical="top"/>
    </xf>
    <xf numFmtId="0" fontId="14" fillId="0" borderId="3" xfId="21" applyFont="1" applyFill="1" applyBorder="1" applyAlignment="1">
      <alignment horizontal="left" wrapText="1"/>
    </xf>
    <xf numFmtId="0" fontId="14" fillId="0" borderId="3" xfId="21" applyFont="1" applyFill="1" applyBorder="1" applyAlignment="1">
      <alignment horizontal="center" vertical="center" wrapText="1"/>
    </xf>
    <xf numFmtId="3" fontId="14" fillId="0" borderId="3" xfId="13" applyNumberFormat="1" applyFont="1" applyFill="1" applyBorder="1" applyAlignment="1">
      <alignment horizontal="right"/>
    </xf>
    <xf numFmtId="3" fontId="14" fillId="0" borderId="3" xfId="13" applyNumberFormat="1" applyFont="1" applyFill="1" applyBorder="1" applyAlignment="1">
      <alignment horizontal="left" wrapText="1"/>
    </xf>
    <xf numFmtId="3" fontId="14" fillId="0" borderId="3" xfId="13" applyNumberFormat="1" applyFont="1" applyFill="1" applyBorder="1" applyAlignment="1">
      <alignment horizontal="center" vertical="center" wrapText="1"/>
    </xf>
    <xf numFmtId="3" fontId="14" fillId="0" borderId="3" xfId="14" applyNumberFormat="1" applyFont="1" applyFill="1" applyBorder="1" applyAlignment="1">
      <alignment horizontal="right" wrapText="1"/>
    </xf>
    <xf numFmtId="3" fontId="14" fillId="0" borderId="3" xfId="21" applyNumberFormat="1" applyFont="1" applyFill="1" applyBorder="1" applyAlignment="1">
      <alignment horizontal="right"/>
    </xf>
    <xf numFmtId="0" fontId="14" fillId="0" borderId="16" xfId="22" applyFont="1" applyFill="1" applyBorder="1" applyAlignment="1">
      <alignment horizontal="center"/>
    </xf>
    <xf numFmtId="0" fontId="14" fillId="0" borderId="5" xfId="22" applyFont="1" applyFill="1" applyBorder="1" applyAlignment="1">
      <alignment horizontal="center" vertical="top"/>
    </xf>
    <xf numFmtId="0" fontId="10" fillId="0" borderId="5" xfId="22" applyFont="1" applyFill="1" applyBorder="1" applyAlignment="1">
      <alignment horizontal="left"/>
    </xf>
    <xf numFmtId="0" fontId="10" fillId="0" borderId="5" xfId="22" applyFont="1" applyFill="1" applyBorder="1" applyAlignment="1">
      <alignment horizontal="center" vertical="center"/>
    </xf>
    <xf numFmtId="3" fontId="10" fillId="0" borderId="5" xfId="22" applyNumberFormat="1" applyFont="1" applyFill="1" applyBorder="1" applyAlignment="1">
      <alignment horizontal="right"/>
    </xf>
    <xf numFmtId="0" fontId="10" fillId="0" borderId="0" xfId="22" applyFont="1" applyFill="1" applyBorder="1" applyAlignment="1">
      <alignment vertical="center"/>
    </xf>
    <xf numFmtId="0" fontId="14" fillId="0" borderId="20" xfId="22" applyFont="1" applyFill="1" applyBorder="1" applyAlignment="1">
      <alignment horizontal="center"/>
    </xf>
    <xf numFmtId="0" fontId="14" fillId="0" borderId="21" xfId="22" applyFont="1" applyFill="1" applyBorder="1" applyAlignment="1">
      <alignment horizontal="center"/>
    </xf>
    <xf numFmtId="0" fontId="35" fillId="0" borderId="21" xfId="22" applyFont="1" applyFill="1" applyBorder="1" applyAlignment="1">
      <alignment horizontal="left"/>
    </xf>
    <xf numFmtId="0" fontId="10" fillId="0" borderId="21" xfId="22" applyFont="1" applyFill="1" applyBorder="1" applyAlignment="1">
      <alignment horizontal="center" vertical="center"/>
    </xf>
    <xf numFmtId="3" fontId="10" fillId="0" borderId="21" xfId="22" applyNumberFormat="1" applyFont="1" applyFill="1" applyBorder="1" applyAlignment="1">
      <alignment horizontal="right"/>
    </xf>
    <xf numFmtId="3" fontId="10" fillId="0" borderId="27" xfId="22" applyNumberFormat="1" applyFont="1" applyFill="1" applyBorder="1" applyAlignment="1">
      <alignment horizontal="right"/>
    </xf>
    <xf numFmtId="3" fontId="10" fillId="0" borderId="28" xfId="22" applyNumberFormat="1" applyFont="1" applyFill="1" applyBorder="1" applyAlignment="1">
      <alignment horizontal="right"/>
    </xf>
    <xf numFmtId="0" fontId="10" fillId="0" borderId="0" xfId="22" applyFont="1" applyFill="1" applyBorder="1" applyAlignment="1"/>
    <xf numFmtId="0" fontId="10" fillId="0" borderId="3" xfId="21" applyFont="1" applyFill="1" applyBorder="1" applyAlignment="1">
      <alignment wrapText="1"/>
    </xf>
    <xf numFmtId="0" fontId="10" fillId="0" borderId="3" xfId="21" applyFont="1" applyFill="1" applyBorder="1" applyAlignment="1">
      <alignment horizontal="center" vertical="center" wrapText="1"/>
    </xf>
    <xf numFmtId="3" fontId="14" fillId="0" borderId="4" xfId="21" applyNumberFormat="1" applyFont="1" applyFill="1" applyBorder="1" applyAlignment="1">
      <alignment horizontal="right"/>
    </xf>
    <xf numFmtId="3" fontId="10" fillId="0" borderId="29" xfId="21" applyNumberFormat="1" applyFont="1" applyFill="1" applyBorder="1" applyAlignment="1">
      <alignment horizontal="right"/>
    </xf>
    <xf numFmtId="0" fontId="14" fillId="0" borderId="3" xfId="21" applyFont="1" applyFill="1" applyBorder="1" applyAlignment="1">
      <alignment wrapText="1"/>
    </xf>
    <xf numFmtId="0" fontId="14" fillId="0" borderId="0" xfId="22" applyFont="1" applyFill="1" applyBorder="1" applyAlignment="1">
      <alignment vertical="top"/>
    </xf>
    <xf numFmtId="0" fontId="10" fillId="0" borderId="4" xfId="21" applyFont="1" applyFill="1" applyBorder="1" applyAlignment="1">
      <alignment horizontal="right" wrapText="1"/>
    </xf>
    <xf numFmtId="0" fontId="10" fillId="0" borderId="30" xfId="21" applyFont="1" applyFill="1" applyBorder="1" applyAlignment="1">
      <alignment horizontal="right" wrapText="1"/>
    </xf>
    <xf numFmtId="3" fontId="14" fillId="0" borderId="30" xfId="21" applyNumberFormat="1" applyFont="1" applyFill="1" applyBorder="1" applyAlignment="1">
      <alignment horizontal="right"/>
    </xf>
    <xf numFmtId="3" fontId="10" fillId="0" borderId="31" xfId="21" applyNumberFormat="1" applyFont="1" applyFill="1" applyBorder="1" applyAlignment="1">
      <alignment horizontal="right"/>
    </xf>
    <xf numFmtId="3" fontId="10" fillId="0" borderId="32" xfId="22" applyNumberFormat="1" applyFont="1" applyFill="1" applyBorder="1" applyAlignment="1">
      <alignment horizontal="right"/>
    </xf>
    <xf numFmtId="0" fontId="10" fillId="0" borderId="33" xfId="22" applyFont="1" applyFill="1" applyBorder="1" applyAlignment="1">
      <alignment horizontal="center"/>
    </xf>
    <xf numFmtId="0" fontId="10" fillId="0" borderId="34" xfId="22" applyFont="1" applyFill="1" applyBorder="1" applyAlignment="1">
      <alignment horizontal="center" vertical="top"/>
    </xf>
    <xf numFmtId="0" fontId="10" fillId="0" borderId="34" xfId="22" applyFont="1" applyFill="1" applyBorder="1" applyAlignment="1">
      <alignment horizontal="left"/>
    </xf>
    <xf numFmtId="0" fontId="10" fillId="0" borderId="34" xfId="22" applyFont="1" applyFill="1" applyBorder="1" applyAlignment="1">
      <alignment horizontal="center" vertical="center"/>
    </xf>
    <xf numFmtId="3" fontId="10" fillId="0" borderId="34" xfId="22" applyNumberFormat="1" applyFont="1" applyFill="1" applyBorder="1" applyAlignment="1">
      <alignment horizontal="right"/>
    </xf>
    <xf numFmtId="3" fontId="10" fillId="0" borderId="35" xfId="22" applyNumberFormat="1" applyFont="1" applyFill="1" applyBorder="1" applyAlignment="1">
      <alignment horizontal="right"/>
    </xf>
    <xf numFmtId="3" fontId="10" fillId="0" borderId="36" xfId="22" applyNumberFormat="1" applyFont="1" applyFill="1" applyBorder="1" applyAlignment="1">
      <alignment horizontal="right"/>
    </xf>
    <xf numFmtId="0" fontId="20" fillId="0" borderId="0" xfId="0" applyFont="1"/>
    <xf numFmtId="0" fontId="6" fillId="0" borderId="0" xfId="14" applyFont="1" applyAlignment="1">
      <alignment horizontal="center" vertical="center"/>
    </xf>
    <xf numFmtId="0" fontId="37" fillId="0" borderId="0" xfId="14" applyFont="1" applyAlignment="1">
      <alignment vertical="center"/>
    </xf>
    <xf numFmtId="0" fontId="38" fillId="0" borderId="0" xfId="14" applyFont="1" applyAlignment="1">
      <alignment horizontal="center" vertical="center" wrapText="1"/>
    </xf>
    <xf numFmtId="0" fontId="37" fillId="0" borderId="0" xfId="14" applyFont="1" applyAlignment="1">
      <alignment vertical="center" wrapText="1"/>
    </xf>
    <xf numFmtId="0" fontId="14" fillId="0" borderId="0" xfId="21" applyFont="1" applyFill="1" applyBorder="1" applyAlignment="1">
      <alignment horizontal="center" vertical="top"/>
    </xf>
    <xf numFmtId="0" fontId="14" fillId="0" borderId="0" xfId="21" applyFont="1" applyFill="1" applyBorder="1" applyAlignment="1">
      <alignment wrapText="1"/>
    </xf>
    <xf numFmtId="0" fontId="14" fillId="0" borderId="0" xfId="21" applyFont="1" applyFill="1" applyBorder="1" applyAlignment="1">
      <alignment horizontal="center" wrapText="1"/>
    </xf>
    <xf numFmtId="3" fontId="14" fillId="0" borderId="0" xfId="21" applyNumberFormat="1" applyFont="1" applyFill="1" applyBorder="1"/>
    <xf numFmtId="3" fontId="10" fillId="0" borderId="0" xfId="21" applyNumberFormat="1" applyFont="1" applyFill="1" applyBorder="1"/>
    <xf numFmtId="0" fontId="14" fillId="0" borderId="0" xfId="21" applyFont="1" applyFill="1" applyBorder="1"/>
    <xf numFmtId="0" fontId="15" fillId="0" borderId="0" xfId="21" applyFont="1" applyFill="1" applyBorder="1" applyAlignment="1">
      <alignment horizontal="left" vertical="center"/>
    </xf>
    <xf numFmtId="0" fontId="15" fillId="0" borderId="0" xfId="21" applyFont="1" applyFill="1" applyBorder="1" applyAlignment="1">
      <alignment horizontal="left" vertical="center" wrapText="1"/>
    </xf>
    <xf numFmtId="3" fontId="15" fillId="0" borderId="0" xfId="21" applyNumberFormat="1" applyFont="1" applyFill="1" applyBorder="1" applyAlignment="1">
      <alignment horizontal="left" vertical="center"/>
    </xf>
    <xf numFmtId="3" fontId="13" fillId="0" borderId="0" xfId="21" applyNumberFormat="1" applyFont="1" applyFill="1" applyBorder="1" applyAlignment="1">
      <alignment horizontal="left" vertical="center"/>
    </xf>
    <xf numFmtId="3" fontId="14" fillId="0" borderId="0" xfId="22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5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3" fontId="10" fillId="0" borderId="27" xfId="22" applyNumberFormat="1" applyFont="1" applyFill="1" applyBorder="1" applyAlignment="1">
      <alignment horizontal="right" vertical="center" wrapText="1"/>
    </xf>
    <xf numFmtId="3" fontId="10" fillId="0" borderId="53" xfId="22" applyNumberFormat="1" applyFont="1" applyFill="1" applyBorder="1" applyAlignment="1">
      <alignment horizontal="right" vertical="center" wrapText="1"/>
    </xf>
    <xf numFmtId="3" fontId="14" fillId="0" borderId="4" xfId="13" applyNumberFormat="1" applyFont="1" applyFill="1" applyBorder="1" applyAlignment="1">
      <alignment horizontal="right"/>
    </xf>
    <xf numFmtId="3" fontId="10" fillId="0" borderId="29" xfId="14" applyNumberFormat="1" applyFont="1" applyFill="1" applyBorder="1" applyAlignment="1">
      <alignment horizontal="right"/>
    </xf>
    <xf numFmtId="3" fontId="10" fillId="0" borderId="54" xfId="22" applyNumberFormat="1" applyFont="1" applyFill="1" applyBorder="1" applyAlignment="1">
      <alignment horizontal="right"/>
    </xf>
    <xf numFmtId="0" fontId="14" fillId="0" borderId="0" xfId="8" applyFont="1" applyBorder="1" applyAlignment="1">
      <alignment horizontal="center" vertical="center"/>
    </xf>
    <xf numFmtId="0" fontId="14" fillId="0" borderId="0" xfId="8" applyFont="1" applyBorder="1"/>
    <xf numFmtId="3" fontId="14" fillId="0" borderId="0" xfId="8" applyNumberFormat="1" applyFont="1" applyBorder="1"/>
    <xf numFmtId="0" fontId="14" fillId="0" borderId="0" xfId="8" applyFont="1" applyBorder="1" applyAlignment="1">
      <alignment horizontal="right"/>
    </xf>
    <xf numFmtId="166" fontId="14" fillId="0" borderId="0" xfId="8" applyNumberFormat="1" applyFont="1" applyBorder="1"/>
    <xf numFmtId="3" fontId="15" fillId="0" borderId="0" xfId="8" applyNumberFormat="1" applyFont="1" applyBorder="1" applyAlignment="1">
      <alignment vertical="center"/>
    </xf>
    <xf numFmtId="0" fontId="15" fillId="0" borderId="0" xfId="8" applyFont="1" applyBorder="1" applyAlignment="1">
      <alignment horizontal="right" vertical="center"/>
    </xf>
    <xf numFmtId="0" fontId="15" fillId="0" borderId="0" xfId="8" applyFont="1" applyBorder="1" applyAlignment="1">
      <alignment vertical="center"/>
    </xf>
    <xf numFmtId="3" fontId="15" fillId="0" borderId="0" xfId="8" applyNumberFormat="1" applyFont="1" applyBorder="1" applyAlignment="1">
      <alignment horizontal="right" vertical="center"/>
    </xf>
    <xf numFmtId="166" fontId="15" fillId="0" borderId="0" xfId="8" applyNumberFormat="1" applyFont="1" applyBorder="1" applyAlignment="1">
      <alignment vertical="center"/>
    </xf>
    <xf numFmtId="166" fontId="14" fillId="0" borderId="0" xfId="8" applyNumberFormat="1" applyFont="1" applyBorder="1" applyAlignment="1">
      <alignment vertical="center"/>
    </xf>
    <xf numFmtId="0" fontId="14" fillId="0" borderId="0" xfId="8" applyFont="1" applyBorder="1" applyAlignment="1">
      <alignment vertical="center"/>
    </xf>
    <xf numFmtId="0" fontId="10" fillId="0" borderId="55" xfId="8" applyFont="1" applyBorder="1" applyAlignment="1">
      <alignment horizontal="center" vertical="center"/>
    </xf>
    <xf numFmtId="0" fontId="10" fillId="0" borderId="56" xfId="8" applyFont="1" applyBorder="1" applyAlignment="1">
      <alignment horizontal="center"/>
    </xf>
    <xf numFmtId="3" fontId="10" fillId="0" borderId="57" xfId="8" applyNumberFormat="1" applyFont="1" applyBorder="1" applyAlignment="1">
      <alignment horizontal="center"/>
    </xf>
    <xf numFmtId="0" fontId="10" fillId="0" borderId="58" xfId="8" applyFont="1" applyBorder="1" applyAlignment="1">
      <alignment horizontal="center"/>
    </xf>
    <xf numFmtId="0" fontId="10" fillId="0" borderId="37" xfId="8" applyFont="1" applyBorder="1" applyAlignment="1">
      <alignment horizontal="center"/>
    </xf>
    <xf numFmtId="3" fontId="10" fillId="0" borderId="40" xfId="8" applyNumberFormat="1" applyFont="1" applyBorder="1" applyAlignment="1">
      <alignment horizontal="center"/>
    </xf>
    <xf numFmtId="0" fontId="14" fillId="0" borderId="59" xfId="8" applyFont="1" applyBorder="1" applyAlignment="1">
      <alignment horizontal="center" vertical="center"/>
    </xf>
    <xf numFmtId="3" fontId="14" fillId="0" borderId="60" xfId="8" applyNumberFormat="1" applyFont="1" applyBorder="1"/>
    <xf numFmtId="0" fontId="14" fillId="0" borderId="61" xfId="8" applyFont="1" applyBorder="1" applyAlignment="1">
      <alignment horizontal="center"/>
    </xf>
    <xf numFmtId="3" fontId="14" fillId="0" borderId="62" xfId="8" applyNumberFormat="1" applyFont="1" applyBorder="1"/>
    <xf numFmtId="0" fontId="14" fillId="0" borderId="0" xfId="8" applyFont="1" applyFill="1" applyBorder="1"/>
    <xf numFmtId="0" fontId="14" fillId="0" borderId="0" xfId="8" applyFont="1" applyBorder="1" applyAlignment="1">
      <alignment wrapText="1"/>
    </xf>
    <xf numFmtId="0" fontId="14" fillId="0" borderId="61" xfId="8" applyFont="1" applyBorder="1" applyAlignment="1">
      <alignment horizontal="center" vertical="top"/>
    </xf>
    <xf numFmtId="0" fontId="14" fillId="0" borderId="0" xfId="8" applyFont="1" applyFill="1" applyBorder="1" applyAlignment="1">
      <alignment vertical="top"/>
    </xf>
    <xf numFmtId="3" fontId="14" fillId="0" borderId="62" xfId="8" applyNumberFormat="1" applyFont="1" applyBorder="1" applyAlignment="1">
      <alignment vertical="top"/>
    </xf>
    <xf numFmtId="3" fontId="14" fillId="0" borderId="63" xfId="8" applyNumberFormat="1" applyFont="1" applyBorder="1"/>
    <xf numFmtId="0" fontId="10" fillId="0" borderId="64" xfId="8" applyFont="1" applyBorder="1" applyAlignment="1">
      <alignment horizontal="center" vertical="center"/>
    </xf>
    <xf numFmtId="0" fontId="10" fillId="0" borderId="1" xfId="8" applyFont="1" applyFill="1" applyBorder="1" applyAlignment="1">
      <alignment horizontal="left" vertical="center"/>
    </xf>
    <xf numFmtId="3" fontId="10" fillId="0" borderId="65" xfId="8" applyNumberFormat="1" applyFont="1" applyBorder="1" applyAlignment="1">
      <alignment vertical="center"/>
    </xf>
    <xf numFmtId="3" fontId="10" fillId="0" borderId="66" xfId="8" applyNumberFormat="1" applyFont="1" applyBorder="1" applyAlignment="1">
      <alignment horizontal="center" vertical="center"/>
    </xf>
    <xf numFmtId="3" fontId="10" fillId="0" borderId="46" xfId="8" applyNumberFormat="1" applyFont="1" applyBorder="1" applyAlignment="1">
      <alignment horizontal="right" vertical="center"/>
    </xf>
    <xf numFmtId="0" fontId="10" fillId="0" borderId="59" xfId="8" applyFont="1" applyBorder="1" applyAlignment="1">
      <alignment horizontal="center" vertical="center"/>
    </xf>
    <xf numFmtId="0" fontId="10" fillId="0" borderId="0" xfId="8" applyFont="1" applyBorder="1" applyAlignment="1">
      <alignment horizontal="center"/>
    </xf>
    <xf numFmtId="3" fontId="10" fillId="0" borderId="60" xfId="8" applyNumberFormat="1" applyFont="1" applyBorder="1" applyAlignment="1">
      <alignment horizontal="center"/>
    </xf>
    <xf numFmtId="0" fontId="10" fillId="0" borderId="61" xfId="8" applyFont="1" applyBorder="1" applyAlignment="1">
      <alignment horizontal="center"/>
    </xf>
    <xf numFmtId="3" fontId="14" fillId="0" borderId="62" xfId="8" applyNumberFormat="1" applyFont="1" applyBorder="1" applyAlignment="1">
      <alignment horizontal="right"/>
    </xf>
    <xf numFmtId="1" fontId="14" fillId="0" borderId="0" xfId="8" applyNumberFormat="1" applyFont="1" applyBorder="1" applyAlignment="1">
      <alignment horizontal="center" vertical="center" textRotation="180"/>
    </xf>
    <xf numFmtId="0" fontId="14" fillId="0" borderId="0" xfId="8" applyFont="1" applyBorder="1" applyAlignment="1">
      <alignment horizontal="left"/>
    </xf>
    <xf numFmtId="3" fontId="14" fillId="0" borderId="60" xfId="8" applyNumberFormat="1" applyFont="1" applyBorder="1" applyAlignment="1">
      <alignment horizontal="right"/>
    </xf>
    <xf numFmtId="1" fontId="14" fillId="0" borderId="61" xfId="8" applyNumberFormat="1" applyFont="1" applyBorder="1" applyAlignment="1">
      <alignment horizontal="center"/>
    </xf>
    <xf numFmtId="10" fontId="14" fillId="0" borderId="0" xfId="8" applyNumberFormat="1" applyFont="1" applyBorder="1" applyAlignment="1">
      <alignment horizontal="right"/>
    </xf>
    <xf numFmtId="0" fontId="10" fillId="0" borderId="67" xfId="8" applyFont="1" applyBorder="1" applyAlignment="1">
      <alignment horizontal="center" vertical="center"/>
    </xf>
    <xf numFmtId="0" fontId="10" fillId="0" borderId="68" xfId="8" applyFont="1" applyFill="1" applyBorder="1" applyAlignment="1">
      <alignment horizontal="left" vertical="center"/>
    </xf>
    <xf numFmtId="3" fontId="10" fillId="0" borderId="69" xfId="8" applyNumberFormat="1" applyFont="1" applyBorder="1" applyAlignment="1">
      <alignment vertical="center"/>
    </xf>
    <xf numFmtId="3" fontId="10" fillId="0" borderId="70" xfId="8" applyNumberFormat="1" applyFont="1" applyBorder="1" applyAlignment="1">
      <alignment horizontal="center" vertical="center"/>
    </xf>
    <xf numFmtId="3" fontId="10" fillId="0" borderId="71" xfId="8" applyNumberFormat="1" applyFont="1" applyBorder="1" applyAlignment="1">
      <alignment horizontal="right" vertical="center"/>
    </xf>
    <xf numFmtId="0" fontId="10" fillId="0" borderId="72" xfId="8" applyFont="1" applyBorder="1" applyAlignment="1">
      <alignment horizontal="center" vertical="center"/>
    </xf>
    <xf numFmtId="0" fontId="10" fillId="0" borderId="73" xfId="8" applyFont="1" applyBorder="1" applyAlignment="1">
      <alignment horizontal="center" vertical="center"/>
    </xf>
    <xf numFmtId="3" fontId="10" fillId="0" borderId="74" xfId="8" applyNumberFormat="1" applyFont="1" applyBorder="1" applyAlignment="1">
      <alignment vertical="center"/>
    </xf>
    <xf numFmtId="0" fontId="10" fillId="0" borderId="75" xfId="8" applyFont="1" applyBorder="1" applyAlignment="1">
      <alignment vertical="center"/>
    </xf>
    <xf numFmtId="0" fontId="10" fillId="0" borderId="76" xfId="8" applyFont="1" applyBorder="1" applyAlignment="1">
      <alignment horizontal="center" vertical="center"/>
    </xf>
    <xf numFmtId="3" fontId="10" fillId="0" borderId="77" xfId="8" applyNumberFormat="1" applyFont="1" applyBorder="1" applyAlignment="1">
      <alignment vertical="center"/>
    </xf>
    <xf numFmtId="3" fontId="14" fillId="0" borderId="60" xfId="8" applyNumberFormat="1" applyFont="1" applyBorder="1" applyAlignment="1">
      <alignment vertical="center"/>
    </xf>
    <xf numFmtId="0" fontId="14" fillId="0" borderId="61" xfId="8" applyFont="1" applyFill="1" applyBorder="1" applyAlignment="1">
      <alignment horizontal="center" vertical="center"/>
    </xf>
    <xf numFmtId="3" fontId="14" fillId="0" borderId="62" xfId="8" applyNumberFormat="1" applyFont="1" applyBorder="1" applyAlignment="1">
      <alignment vertical="center"/>
    </xf>
    <xf numFmtId="0" fontId="14" fillId="0" borderId="0" xfId="8" applyFont="1" applyFill="1" applyBorder="1" applyAlignment="1">
      <alignment vertical="center"/>
    </xf>
    <xf numFmtId="0" fontId="14" fillId="0" borderId="0" xfId="8" applyFont="1" applyFill="1" applyBorder="1" applyAlignment="1">
      <alignment horizontal="center" vertical="center"/>
    </xf>
    <xf numFmtId="0" fontId="10" fillId="0" borderId="78" xfId="8" applyFont="1" applyBorder="1" applyAlignment="1">
      <alignment horizontal="center" vertical="center"/>
    </xf>
    <xf numFmtId="3" fontId="10" fillId="0" borderId="60" xfId="8" applyNumberFormat="1" applyFont="1" applyBorder="1" applyAlignment="1">
      <alignment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Border="1" applyAlignment="1">
      <alignment horizontal="center" vertical="center"/>
    </xf>
    <xf numFmtId="3" fontId="10" fillId="0" borderId="62" xfId="8" applyNumberFormat="1" applyFont="1" applyBorder="1" applyAlignment="1">
      <alignment vertical="center"/>
    </xf>
    <xf numFmtId="166" fontId="10" fillId="0" borderId="0" xfId="8" applyNumberFormat="1" applyFont="1" applyBorder="1" applyAlignment="1">
      <alignment vertical="center"/>
    </xf>
    <xf numFmtId="0" fontId="10" fillId="0" borderId="0" xfId="8" applyFont="1" applyBorder="1" applyAlignment="1">
      <alignment vertical="center"/>
    </xf>
    <xf numFmtId="0" fontId="14" fillId="0" borderId="79" xfId="8" applyFont="1" applyBorder="1" applyAlignment="1">
      <alignment horizontal="center" vertical="center"/>
    </xf>
    <xf numFmtId="0" fontId="10" fillId="0" borderId="74" xfId="8" applyFont="1" applyBorder="1" applyAlignment="1">
      <alignment horizontal="center" vertical="center"/>
    </xf>
    <xf numFmtId="3" fontId="10" fillId="0" borderId="80" xfId="8" applyNumberFormat="1" applyFont="1" applyBorder="1" applyAlignment="1">
      <alignment vertical="center"/>
    </xf>
    <xf numFmtId="0" fontId="10" fillId="0" borderId="81" xfId="8" applyFont="1" applyBorder="1" applyAlignment="1">
      <alignment horizontal="right" vertical="center"/>
    </xf>
    <xf numFmtId="0" fontId="10" fillId="0" borderId="82" xfId="8" applyFont="1" applyBorder="1" applyAlignment="1">
      <alignment horizontal="center" vertical="center"/>
    </xf>
    <xf numFmtId="0" fontId="10" fillId="0" borderId="83" xfId="8" applyFont="1" applyFill="1" applyBorder="1" applyAlignment="1">
      <alignment horizontal="left" vertical="center"/>
    </xf>
    <xf numFmtId="3" fontId="10" fillId="0" borderId="84" xfId="8" applyNumberFormat="1" applyFont="1" applyBorder="1" applyAlignment="1">
      <alignment vertical="center"/>
    </xf>
    <xf numFmtId="3" fontId="10" fillId="0" borderId="61" xfId="8" applyNumberFormat="1" applyFont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3" fontId="10" fillId="0" borderId="62" xfId="8" applyNumberFormat="1" applyFont="1" applyBorder="1" applyAlignment="1">
      <alignment horizontal="right" vertical="center"/>
    </xf>
    <xf numFmtId="0" fontId="10" fillId="0" borderId="85" xfId="8" applyFont="1" applyBorder="1" applyAlignment="1">
      <alignment horizontal="center" vertical="center"/>
    </xf>
    <xf numFmtId="0" fontId="10" fillId="0" borderId="86" xfId="8" applyFont="1" applyFill="1" applyBorder="1" applyAlignment="1">
      <alignment horizontal="left" vertical="center"/>
    </xf>
    <xf numFmtId="3" fontId="10" fillId="0" borderId="87" xfId="8" applyNumberFormat="1" applyFont="1" applyBorder="1" applyAlignment="1">
      <alignment vertical="center"/>
    </xf>
    <xf numFmtId="3" fontId="10" fillId="0" borderId="88" xfId="8" applyNumberFormat="1" applyFont="1" applyBorder="1" applyAlignment="1">
      <alignment horizontal="center" vertical="center"/>
    </xf>
    <xf numFmtId="3" fontId="10" fillId="0" borderId="89" xfId="8" applyNumberFormat="1" applyFont="1" applyBorder="1" applyAlignment="1">
      <alignment horizontal="right" vertical="center"/>
    </xf>
    <xf numFmtId="167" fontId="14" fillId="0" borderId="90" xfId="23" applyNumberFormat="1" applyFont="1" applyFill="1" applyBorder="1" applyAlignment="1" applyProtection="1">
      <alignment horizontal="center"/>
    </xf>
    <xf numFmtId="0" fontId="14" fillId="0" borderId="61" xfId="8" applyFont="1" applyBorder="1" applyAlignment="1">
      <alignment horizontal="right"/>
    </xf>
    <xf numFmtId="167" fontId="14" fillId="0" borderId="62" xfId="23" applyNumberFormat="1" applyFont="1" applyFill="1" applyBorder="1" applyAlignment="1" applyProtection="1">
      <alignment horizontal="center"/>
    </xf>
    <xf numFmtId="0" fontId="14" fillId="0" borderId="91" xfId="8" applyFont="1" applyBorder="1" applyAlignment="1">
      <alignment horizontal="center" vertical="center"/>
    </xf>
    <xf numFmtId="0" fontId="14" fillId="0" borderId="92" xfId="8" applyFont="1" applyBorder="1"/>
    <xf numFmtId="167" fontId="14" fillId="0" borderId="93" xfId="23" applyNumberFormat="1" applyFont="1" applyFill="1" applyBorder="1" applyAlignment="1" applyProtection="1">
      <alignment horizontal="center"/>
    </xf>
    <xf numFmtId="0" fontId="14" fillId="0" borderId="94" xfId="8" applyFont="1" applyBorder="1" applyAlignment="1">
      <alignment horizontal="right"/>
    </xf>
    <xf numFmtId="167" fontId="14" fillId="0" borderId="95" xfId="23" applyNumberFormat="1" applyFont="1" applyFill="1" applyBorder="1" applyAlignment="1" applyProtection="1">
      <alignment horizontal="center"/>
    </xf>
    <xf numFmtId="0" fontId="37" fillId="0" borderId="0" xfId="21" applyFont="1" applyFill="1" applyBorder="1" applyAlignment="1">
      <alignment vertical="center"/>
    </xf>
    <xf numFmtId="0" fontId="37" fillId="0" borderId="0" xfId="21" applyFont="1" applyFill="1" applyBorder="1" applyAlignment="1">
      <alignment vertical="center" wrapText="1"/>
    </xf>
    <xf numFmtId="3" fontId="38" fillId="0" borderId="0" xfId="21" applyNumberFormat="1" applyFont="1" applyFill="1" applyBorder="1" applyAlignment="1">
      <alignment vertical="center"/>
    </xf>
    <xf numFmtId="3" fontId="37" fillId="0" borderId="0" xfId="21" applyNumberFormat="1" applyFont="1" applyFill="1" applyBorder="1" applyAlignment="1">
      <alignment vertical="center"/>
    </xf>
    <xf numFmtId="0" fontId="15" fillId="0" borderId="0" xfId="21" applyFont="1" applyFill="1" applyBorder="1" applyAlignment="1">
      <alignment vertical="center" wrapText="1"/>
    </xf>
    <xf numFmtId="0" fontId="38" fillId="0" borderId="0" xfId="21" applyFont="1" applyFill="1" applyBorder="1" applyAlignment="1">
      <alignment horizontal="center" vertical="center"/>
    </xf>
    <xf numFmtId="0" fontId="39" fillId="0" borderId="0" xfId="8" applyFont="1" applyAlignment="1">
      <alignment vertical="top"/>
    </xf>
    <xf numFmtId="0" fontId="37" fillId="0" borderId="0" xfId="21" applyFont="1" applyFill="1" applyBorder="1" applyAlignment="1">
      <alignment horizontal="center" vertical="center"/>
    </xf>
    <xf numFmtId="0" fontId="37" fillId="0" borderId="0" xfId="12" applyFont="1" applyFill="1" applyBorder="1" applyAlignment="1">
      <alignment vertical="center"/>
    </xf>
    <xf numFmtId="0" fontId="37" fillId="0" borderId="96" xfId="21" applyFont="1" applyFill="1" applyBorder="1" applyAlignment="1">
      <alignment horizontal="center" vertical="center"/>
    </xf>
    <xf numFmtId="0" fontId="37" fillId="0" borderId="12" xfId="21" applyFont="1" applyFill="1" applyBorder="1" applyAlignment="1">
      <alignment horizontal="left" vertical="center" wrapText="1"/>
    </xf>
    <xf numFmtId="3" fontId="37" fillId="0" borderId="12" xfId="21" applyNumberFormat="1" applyFont="1" applyFill="1" applyBorder="1" applyAlignment="1">
      <alignment vertical="center"/>
    </xf>
    <xf numFmtId="3" fontId="37" fillId="0" borderId="97" xfId="21" applyNumberFormat="1" applyFont="1" applyFill="1" applyBorder="1" applyAlignment="1">
      <alignment vertical="center"/>
    </xf>
    <xf numFmtId="0" fontId="37" fillId="0" borderId="98" xfId="21" applyFont="1" applyFill="1" applyBorder="1" applyAlignment="1">
      <alignment horizontal="center" vertical="center"/>
    </xf>
    <xf numFmtId="0" fontId="37" fillId="0" borderId="99" xfId="21" applyFont="1" applyFill="1" applyBorder="1" applyAlignment="1">
      <alignment horizontal="left" vertical="center" wrapText="1"/>
    </xf>
    <xf numFmtId="3" fontId="37" fillId="0" borderId="99" xfId="21" applyNumberFormat="1" applyFont="1" applyFill="1" applyBorder="1" applyAlignment="1">
      <alignment vertical="center"/>
    </xf>
    <xf numFmtId="0" fontId="7" fillId="0" borderId="101" xfId="21" applyFont="1" applyFill="1" applyBorder="1" applyAlignment="1">
      <alignment horizontal="center" vertical="center"/>
    </xf>
    <xf numFmtId="0" fontId="6" fillId="0" borderId="5" xfId="21" applyFont="1" applyFill="1" applyBorder="1" applyAlignment="1">
      <alignment horizontal="center" vertical="center" wrapText="1"/>
    </xf>
    <xf numFmtId="3" fontId="6" fillId="0" borderId="5" xfId="21" applyNumberFormat="1" applyFont="1" applyFill="1" applyBorder="1" applyAlignment="1">
      <alignment vertical="center"/>
    </xf>
    <xf numFmtId="3" fontId="6" fillId="0" borderId="102" xfId="21" applyNumberFormat="1" applyFont="1" applyFill="1" applyBorder="1" applyAlignment="1">
      <alignment vertical="center"/>
    </xf>
    <xf numFmtId="0" fontId="6" fillId="0" borderId="0" xfId="21" applyFont="1" applyFill="1" applyBorder="1" applyAlignment="1">
      <alignment vertical="center"/>
    </xf>
    <xf numFmtId="0" fontId="37" fillId="0" borderId="103" xfId="21" applyFont="1" applyFill="1" applyBorder="1" applyAlignment="1">
      <alignment horizontal="center" vertical="center"/>
    </xf>
    <xf numFmtId="0" fontId="37" fillId="0" borderId="3" xfId="21" applyFont="1" applyFill="1" applyBorder="1" applyAlignment="1">
      <alignment vertical="center" wrapText="1"/>
    </xf>
    <xf numFmtId="3" fontId="37" fillId="0" borderId="3" xfId="21" applyNumberFormat="1" applyFont="1" applyFill="1" applyBorder="1" applyAlignment="1">
      <alignment vertical="center"/>
    </xf>
    <xf numFmtId="3" fontId="37" fillId="0" borderId="104" xfId="21" applyNumberFormat="1" applyFont="1" applyFill="1" applyBorder="1" applyAlignment="1">
      <alignment vertical="center"/>
    </xf>
    <xf numFmtId="0" fontId="37" fillId="0" borderId="3" xfId="21" applyFont="1" applyFill="1" applyBorder="1" applyAlignment="1">
      <alignment horizontal="left" vertical="center" wrapText="1"/>
    </xf>
    <xf numFmtId="3" fontId="37" fillId="0" borderId="3" xfId="21" applyNumberFormat="1" applyFont="1" applyFill="1" applyBorder="1" applyAlignment="1">
      <alignment horizontal="right" vertical="center"/>
    </xf>
    <xf numFmtId="3" fontId="37" fillId="0" borderId="3" xfId="21" applyNumberFormat="1" applyFont="1" applyFill="1" applyBorder="1" applyAlignment="1">
      <alignment horizontal="right" vertical="center" wrapText="1"/>
    </xf>
    <xf numFmtId="3" fontId="37" fillId="0" borderId="104" xfId="21" applyNumberFormat="1" applyFont="1" applyFill="1" applyBorder="1" applyAlignment="1">
      <alignment horizontal="right" vertical="center" wrapText="1"/>
    </xf>
    <xf numFmtId="0" fontId="37" fillId="0" borderId="101" xfId="21" applyFont="1" applyFill="1" applyBorder="1" applyAlignment="1">
      <alignment horizontal="center" vertical="center"/>
    </xf>
    <xf numFmtId="0" fontId="38" fillId="0" borderId="5" xfId="21" applyFont="1" applyFill="1" applyBorder="1" applyAlignment="1">
      <alignment horizontal="center" vertical="center"/>
    </xf>
    <xf numFmtId="3" fontId="38" fillId="0" borderId="5" xfId="21" applyNumberFormat="1" applyFont="1" applyFill="1" applyBorder="1" applyAlignment="1">
      <alignment vertical="center"/>
    </xf>
    <xf numFmtId="3" fontId="38" fillId="0" borderId="5" xfId="21" applyNumberFormat="1" applyFont="1" applyFill="1" applyBorder="1" applyAlignment="1">
      <alignment horizontal="right" vertical="center" wrapText="1"/>
    </xf>
    <xf numFmtId="0" fontId="38" fillId="0" borderId="0" xfId="21" applyFont="1" applyFill="1" applyBorder="1" applyAlignment="1">
      <alignment vertical="center"/>
    </xf>
    <xf numFmtId="3" fontId="6" fillId="0" borderId="5" xfId="21" applyNumberFormat="1" applyFont="1" applyFill="1" applyBorder="1" applyAlignment="1">
      <alignment horizontal="right" vertical="center"/>
    </xf>
    <xf numFmtId="3" fontId="6" fillId="0" borderId="5" xfId="21" applyNumberFormat="1" applyFont="1" applyFill="1" applyBorder="1" applyAlignment="1">
      <alignment horizontal="right" vertical="center" wrapText="1"/>
    </xf>
    <xf numFmtId="3" fontId="6" fillId="0" borderId="102" xfId="21" applyNumberFormat="1" applyFont="1" applyFill="1" applyBorder="1" applyAlignment="1">
      <alignment horizontal="right" vertical="center" wrapText="1"/>
    </xf>
    <xf numFmtId="0" fontId="39" fillId="0" borderId="0" xfId="0" applyFont="1" applyAlignment="1">
      <alignment horizontal="center" vertical="top"/>
    </xf>
    <xf numFmtId="0" fontId="37" fillId="0" borderId="59" xfId="0" applyFont="1" applyBorder="1" applyAlignment="1"/>
    <xf numFmtId="0" fontId="37" fillId="0" borderId="0" xfId="0" applyFont="1" applyBorder="1" applyAlignment="1"/>
    <xf numFmtId="0" fontId="37" fillId="0" borderId="105" xfId="0" applyFont="1" applyBorder="1" applyAlignment="1"/>
    <xf numFmtId="0" fontId="37" fillId="0" borderId="59" xfId="0" applyFont="1" applyBorder="1" applyAlignment="1">
      <alignment vertical="top"/>
    </xf>
    <xf numFmtId="0" fontId="37" fillId="0" borderId="0" xfId="0" applyFont="1" applyBorder="1" applyAlignment="1">
      <alignment horizontal="left" indent="2"/>
    </xf>
    <xf numFmtId="0" fontId="37" fillId="0" borderId="105" xfId="0" applyFont="1" applyBorder="1"/>
    <xf numFmtId="0" fontId="37" fillId="0" borderId="0" xfId="0" applyFont="1" applyBorder="1" applyAlignment="1">
      <alignment vertical="top"/>
    </xf>
    <xf numFmtId="0" fontId="37" fillId="0" borderId="105" xfId="0" applyFont="1" applyBorder="1" applyAlignment="1">
      <alignment vertical="top"/>
    </xf>
    <xf numFmtId="0" fontId="37" fillId="0" borderId="59" xfId="0" applyFont="1" applyBorder="1" applyAlignment="1">
      <alignment vertical="center"/>
    </xf>
    <xf numFmtId="0" fontId="37" fillId="0" borderId="0" xfId="0" applyFont="1" applyBorder="1" applyAlignment="1">
      <alignment vertical="center" wrapText="1"/>
    </xf>
    <xf numFmtId="0" fontId="37" fillId="0" borderId="105" xfId="0" applyFont="1" applyBorder="1" applyAlignment="1">
      <alignment vertical="center"/>
    </xf>
    <xf numFmtId="3" fontId="37" fillId="0" borderId="63" xfId="0" applyNumberFormat="1" applyFont="1" applyBorder="1" applyAlignment="1">
      <alignment vertical="center"/>
    </xf>
    <xf numFmtId="3" fontId="38" fillId="0" borderId="106" xfId="0" applyNumberFormat="1" applyFont="1" applyBorder="1" applyAlignment="1">
      <alignment vertical="center"/>
    </xf>
    <xf numFmtId="0" fontId="37" fillId="0" borderId="107" xfId="0" applyFont="1" applyBorder="1" applyAlignment="1">
      <alignment vertical="center"/>
    </xf>
    <xf numFmtId="0" fontId="14" fillId="0" borderId="0" xfId="15" applyFont="1" applyAlignment="1">
      <alignment horizontal="center"/>
    </xf>
    <xf numFmtId="0" fontId="14" fillId="0" borderId="0" xfId="15" applyFont="1"/>
    <xf numFmtId="0" fontId="4" fillId="0" borderId="0" xfId="18"/>
    <xf numFmtId="0" fontId="15" fillId="0" borderId="0" xfId="15" applyFont="1" applyAlignment="1">
      <alignment horizontal="center"/>
    </xf>
    <xf numFmtId="0" fontId="15" fillId="0" borderId="0" xfId="15" applyFont="1"/>
    <xf numFmtId="0" fontId="41" fillId="0" borderId="0" xfId="18" applyFont="1"/>
    <xf numFmtId="0" fontId="4" fillId="0" borderId="0" xfId="18" applyAlignment="1">
      <alignment vertical="center"/>
    </xf>
    <xf numFmtId="0" fontId="38" fillId="0" borderId="0" xfId="15" applyFont="1" applyAlignment="1">
      <alignment horizontal="center" vertical="center"/>
    </xf>
    <xf numFmtId="0" fontId="14" fillId="0" borderId="0" xfId="15" applyFont="1" applyAlignment="1">
      <alignment horizontal="right" vertical="center"/>
    </xf>
    <xf numFmtId="0" fontId="14" fillId="0" borderId="0" xfId="16" applyFont="1" applyAlignment="1">
      <alignment horizontal="center"/>
    </xf>
    <xf numFmtId="0" fontId="4" fillId="0" borderId="0" xfId="18" applyFont="1"/>
    <xf numFmtId="0" fontId="14" fillId="0" borderId="9" xfId="15" applyFont="1" applyBorder="1" applyAlignment="1">
      <alignment horizontal="center" vertical="center" wrapText="1"/>
    </xf>
    <xf numFmtId="0" fontId="4" fillId="0" borderId="0" xfId="18" applyAlignment="1">
      <alignment horizontal="center" vertical="center"/>
    </xf>
    <xf numFmtId="0" fontId="14" fillId="0" borderId="12" xfId="18" applyFont="1" applyBorder="1" applyAlignment="1">
      <alignment horizontal="center" vertical="center"/>
    </xf>
    <xf numFmtId="0" fontId="14" fillId="0" borderId="12" xfId="18" applyFont="1" applyFill="1" applyBorder="1" applyAlignment="1">
      <alignment vertical="center"/>
    </xf>
    <xf numFmtId="168" fontId="14" fillId="0" borderId="12" xfId="18" applyNumberFormat="1" applyFont="1" applyBorder="1" applyAlignment="1">
      <alignment horizontal="center" vertical="center"/>
    </xf>
    <xf numFmtId="3" fontId="14" fillId="0" borderId="12" xfId="17" applyNumberFormat="1" applyFont="1" applyBorder="1" applyAlignment="1">
      <alignment horizontal="right" vertical="center"/>
    </xf>
    <xf numFmtId="0" fontId="14" fillId="0" borderId="3" xfId="18" applyFont="1" applyBorder="1" applyAlignment="1">
      <alignment horizontal="center" vertical="center"/>
    </xf>
    <xf numFmtId="0" fontId="14" fillId="0" borderId="3" xfId="18" applyFont="1" applyBorder="1" applyAlignment="1">
      <alignment vertical="center"/>
    </xf>
    <xf numFmtId="168" fontId="14" fillId="0" borderId="3" xfId="18" applyNumberFormat="1" applyFont="1" applyBorder="1" applyAlignment="1">
      <alignment horizontal="center" vertical="center"/>
    </xf>
    <xf numFmtId="3" fontId="14" fillId="0" borderId="3" xfId="2" applyNumberFormat="1" applyFont="1" applyFill="1" applyBorder="1" applyAlignment="1" applyProtection="1">
      <alignment horizontal="right" vertical="center"/>
    </xf>
    <xf numFmtId="0" fontId="10" fillId="0" borderId="12" xfId="15" applyFont="1" applyBorder="1" applyAlignment="1">
      <alignment horizontal="center" vertical="center"/>
    </xf>
    <xf numFmtId="3" fontId="4" fillId="0" borderId="12" xfId="18" applyNumberFormat="1" applyBorder="1" applyAlignment="1">
      <alignment vertical="center"/>
    </xf>
    <xf numFmtId="0" fontId="42" fillId="0" borderId="0" xfId="20" applyFont="1" applyFill="1"/>
    <xf numFmtId="0" fontId="15" fillId="0" borderId="0" xfId="20" applyFont="1" applyFill="1"/>
    <xf numFmtId="165" fontId="38" fillId="0" borderId="0" xfId="2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/>
    </xf>
    <xf numFmtId="0" fontId="10" fillId="0" borderId="17" xfId="20" applyFont="1" applyFill="1" applyBorder="1" applyAlignment="1" applyProtection="1">
      <alignment horizontal="center" vertical="center" wrapText="1"/>
    </xf>
    <xf numFmtId="0" fontId="10" fillId="0" borderId="52" xfId="20" applyFont="1" applyFill="1" applyBorder="1" applyAlignment="1" applyProtection="1">
      <alignment horizontal="center" vertical="center" wrapText="1"/>
    </xf>
    <xf numFmtId="0" fontId="14" fillId="0" borderId="17" xfId="20" applyFont="1" applyFill="1" applyBorder="1" applyAlignment="1" applyProtection="1">
      <alignment horizontal="center" vertical="center"/>
    </xf>
    <xf numFmtId="0" fontId="14" fillId="0" borderId="52" xfId="20" applyFont="1" applyFill="1" applyBorder="1" applyAlignment="1" applyProtection="1">
      <alignment horizontal="center" vertical="center"/>
    </xf>
    <xf numFmtId="0" fontId="14" fillId="0" borderId="2" xfId="20" applyFont="1" applyFill="1" applyBorder="1" applyAlignment="1" applyProtection="1">
      <alignment horizontal="center" vertical="center"/>
    </xf>
    <xf numFmtId="0" fontId="14" fillId="0" borderId="108" xfId="20" applyFont="1" applyFill="1" applyBorder="1" applyAlignment="1" applyProtection="1">
      <alignment horizontal="center" vertical="center"/>
    </xf>
    <xf numFmtId="0" fontId="14" fillId="0" borderId="11" xfId="20" applyFont="1" applyFill="1" applyBorder="1" applyProtection="1"/>
    <xf numFmtId="169" fontId="14" fillId="0" borderId="109" xfId="1" applyNumberFormat="1" applyFont="1" applyFill="1" applyBorder="1" applyAlignment="1" applyProtection="1">
      <protection locked="0"/>
    </xf>
    <xf numFmtId="0" fontId="14" fillId="0" borderId="24" xfId="20" applyFont="1" applyFill="1" applyBorder="1" applyAlignment="1" applyProtection="1">
      <alignment horizontal="center" vertical="center"/>
    </xf>
    <xf numFmtId="0" fontId="14" fillId="0" borderId="4" xfId="0" applyFont="1" applyBorder="1" applyAlignment="1">
      <alignment horizontal="justify" wrapText="1"/>
    </xf>
    <xf numFmtId="169" fontId="14" fillId="0" borderId="29" xfId="1" applyNumberFormat="1" applyFont="1" applyFill="1" applyBorder="1" applyAlignment="1" applyProtection="1">
      <protection locked="0"/>
    </xf>
    <xf numFmtId="0" fontId="14" fillId="0" borderId="4" xfId="0" applyFont="1" applyBorder="1" applyAlignment="1">
      <alignment wrapText="1"/>
    </xf>
    <xf numFmtId="0" fontId="14" fillId="0" borderId="110" xfId="20" applyFont="1" applyFill="1" applyBorder="1" applyAlignment="1" applyProtection="1">
      <alignment horizontal="center" vertical="center"/>
    </xf>
    <xf numFmtId="0" fontId="14" fillId="0" borderId="111" xfId="0" applyFont="1" applyBorder="1" applyAlignment="1">
      <alignment wrapText="1"/>
    </xf>
    <xf numFmtId="169" fontId="14" fillId="0" borderId="112" xfId="1" applyNumberFormat="1" applyFont="1" applyFill="1" applyBorder="1" applyAlignment="1" applyProtection="1">
      <protection locked="0"/>
    </xf>
    <xf numFmtId="169" fontId="10" fillId="0" borderId="2" xfId="1" applyNumberFormat="1" applyFont="1" applyFill="1" applyBorder="1" applyAlignment="1" applyProtection="1"/>
    <xf numFmtId="0" fontId="10" fillId="0" borderId="113" xfId="20" applyFont="1" applyFill="1" applyBorder="1" applyAlignment="1" applyProtection="1">
      <alignment horizontal="center" vertical="center" wrapText="1"/>
    </xf>
    <xf numFmtId="0" fontId="10" fillId="0" borderId="114" xfId="20" applyFont="1" applyFill="1" applyBorder="1" applyAlignment="1" applyProtection="1">
      <alignment horizontal="center" vertical="center" wrapText="1"/>
    </xf>
    <xf numFmtId="0" fontId="10" fillId="0" borderId="115" xfId="20" applyFont="1" applyFill="1" applyBorder="1" applyAlignment="1" applyProtection="1">
      <alignment horizontal="center" vertical="center" wrapText="1"/>
    </xf>
    <xf numFmtId="0" fontId="14" fillId="0" borderId="116" xfId="20" applyFont="1" applyFill="1" applyBorder="1" applyAlignment="1" applyProtection="1">
      <alignment horizontal="center" vertical="center"/>
    </xf>
    <xf numFmtId="0" fontId="14" fillId="0" borderId="117" xfId="20" applyFont="1" applyFill="1" applyBorder="1" applyProtection="1">
      <protection locked="0"/>
    </xf>
    <xf numFmtId="169" fontId="14" fillId="0" borderId="118" xfId="1" applyNumberFormat="1" applyFont="1" applyFill="1" applyBorder="1" applyAlignment="1" applyProtection="1">
      <protection locked="0"/>
    </xf>
    <xf numFmtId="0" fontId="14" fillId="0" borderId="4" xfId="20" applyFont="1" applyFill="1" applyBorder="1" applyProtection="1">
      <protection locked="0"/>
    </xf>
    <xf numFmtId="0" fontId="14" fillId="0" borderId="119" xfId="20" applyFont="1" applyFill="1" applyBorder="1" applyAlignment="1" applyProtection="1">
      <alignment horizontal="center" vertical="center"/>
    </xf>
    <xf numFmtId="0" fontId="14" fillId="0" borderId="120" xfId="20" applyFont="1" applyFill="1" applyBorder="1" applyProtection="1">
      <protection locked="0"/>
    </xf>
    <xf numFmtId="169" fontId="14" fillId="0" borderId="121" xfId="1" applyNumberFormat="1" applyFont="1" applyFill="1" applyBorder="1" applyAlignment="1" applyProtection="1">
      <protection locked="0"/>
    </xf>
    <xf numFmtId="0" fontId="10" fillId="0" borderId="17" xfId="20" applyFont="1" applyFill="1" applyBorder="1" applyAlignment="1" applyProtection="1">
      <alignment horizontal="center" vertical="center"/>
    </xf>
    <xf numFmtId="0" fontId="13" fillId="0" borderId="52" xfId="20" applyFont="1" applyFill="1" applyBorder="1" applyAlignment="1" applyProtection="1">
      <alignment horizontal="left" vertical="center" wrapText="1"/>
    </xf>
    <xf numFmtId="0" fontId="0" fillId="3" borderId="0" xfId="0" applyFill="1"/>
    <xf numFmtId="0" fontId="9" fillId="3" borderId="0" xfId="0" applyFont="1" applyFill="1"/>
    <xf numFmtId="3" fontId="20" fillId="3" borderId="0" xfId="10" applyNumberFormat="1" applyFont="1" applyFill="1"/>
    <xf numFmtId="3" fontId="19" fillId="3" borderId="0" xfId="10" applyNumberFormat="1" applyFont="1" applyFill="1" applyAlignment="1">
      <alignment vertical="center"/>
    </xf>
    <xf numFmtId="3" fontId="19" fillId="3" borderId="0" xfId="10" applyNumberFormat="1" applyFont="1" applyFill="1"/>
    <xf numFmtId="3" fontId="20" fillId="3" borderId="0" xfId="10" applyNumberFormat="1" applyFont="1" applyFill="1" applyAlignment="1">
      <alignment horizontal="center" vertical="top"/>
    </xf>
    <xf numFmtId="0" fontId="21" fillId="3" borderId="0" xfId="10" applyFont="1" applyFill="1" applyBorder="1" applyAlignment="1">
      <alignment wrapText="1"/>
    </xf>
    <xf numFmtId="3" fontId="22" fillId="3" borderId="0" xfId="10" applyNumberFormat="1" applyFont="1" applyFill="1" applyAlignment="1">
      <alignment horizontal="center"/>
    </xf>
    <xf numFmtId="3" fontId="22" fillId="3" borderId="0" xfId="10" applyNumberFormat="1" applyFont="1" applyFill="1" applyBorder="1" applyAlignment="1">
      <alignment horizontal="center" wrapText="1"/>
    </xf>
    <xf numFmtId="3" fontId="21" fillId="3" borderId="3" xfId="10" applyNumberFormat="1" applyFont="1" applyFill="1" applyBorder="1"/>
    <xf numFmtId="3" fontId="20" fillId="3" borderId="3" xfId="10" applyNumberFormat="1" applyFont="1" applyFill="1" applyBorder="1" applyAlignment="1">
      <alignment horizontal="center"/>
    </xf>
    <xf numFmtId="3" fontId="21" fillId="3" borderId="3" xfId="10" applyNumberFormat="1" applyFont="1" applyFill="1" applyBorder="1" applyAlignment="1">
      <alignment horizontal="left" wrapText="1"/>
    </xf>
    <xf numFmtId="3" fontId="21" fillId="3" borderId="3" xfId="10" applyNumberFormat="1" applyFont="1" applyFill="1" applyBorder="1" applyAlignment="1">
      <alignment horizontal="center" vertical="top"/>
    </xf>
    <xf numFmtId="3" fontId="21" fillId="3" borderId="3" xfId="10" applyNumberFormat="1" applyFont="1" applyFill="1" applyBorder="1" applyAlignment="1">
      <alignment wrapText="1"/>
    </xf>
    <xf numFmtId="3" fontId="26" fillId="3" borderId="3" xfId="10" applyNumberFormat="1" applyFont="1" applyFill="1" applyBorder="1"/>
    <xf numFmtId="3" fontId="26" fillId="3" borderId="3" xfId="10" applyNumberFormat="1" applyFont="1" applyFill="1" applyBorder="1" applyAlignment="1">
      <alignment horizontal="center" vertical="top"/>
    </xf>
    <xf numFmtId="3" fontId="25" fillId="3" borderId="3" xfId="10" applyNumberFormat="1" applyFont="1" applyFill="1" applyBorder="1" applyAlignment="1">
      <alignment horizontal="center" vertical="top"/>
    </xf>
    <xf numFmtId="3" fontId="21" fillId="3" borderId="3" xfId="10" applyNumberFormat="1" applyFont="1" applyFill="1" applyBorder="1" applyAlignment="1">
      <alignment horizontal="center" vertical="center" wrapText="1"/>
    </xf>
    <xf numFmtId="3" fontId="21" fillId="3" borderId="5" xfId="10" applyNumberFormat="1" applyFont="1" applyFill="1" applyBorder="1" applyAlignment="1">
      <alignment vertical="center" wrapText="1"/>
    </xf>
    <xf numFmtId="3" fontId="19" fillId="3" borderId="0" xfId="10" applyNumberFormat="1" applyFont="1" applyFill="1" applyAlignment="1">
      <alignment wrapText="1"/>
    </xf>
    <xf numFmtId="165" fontId="15" fillId="3" borderId="89" xfId="20" applyNumberFormat="1" applyFont="1" applyFill="1" applyBorder="1" applyAlignment="1" applyProtection="1">
      <alignment horizontal="right" vertical="center" wrapText="1" indent="1"/>
      <protection locked="0"/>
    </xf>
    <xf numFmtId="3" fontId="7" fillId="3" borderId="12" xfId="10" applyNumberFormat="1" applyFont="1" applyFill="1" applyBorder="1" applyAlignment="1">
      <alignment horizontal="right"/>
    </xf>
    <xf numFmtId="3" fontId="7" fillId="3" borderId="3" xfId="10" applyNumberFormat="1" applyFont="1" applyFill="1" applyBorder="1" applyAlignment="1">
      <alignment horizontal="right"/>
    </xf>
    <xf numFmtId="3" fontId="19" fillId="3" borderId="9" xfId="10" applyNumberFormat="1" applyFont="1" applyFill="1" applyBorder="1" applyAlignment="1">
      <alignment horizontal="center" vertical="center" wrapText="1"/>
    </xf>
    <xf numFmtId="3" fontId="19" fillId="3" borderId="9" xfId="5" applyNumberFormat="1" applyFont="1" applyFill="1" applyBorder="1" applyAlignment="1">
      <alignment horizontal="center" vertical="center" wrapText="1"/>
    </xf>
    <xf numFmtId="3" fontId="19" fillId="3" borderId="10" xfId="5" applyNumberFormat="1" applyFont="1" applyFill="1" applyBorder="1" applyAlignment="1">
      <alignment horizontal="center" vertical="center" wrapText="1"/>
    </xf>
    <xf numFmtId="3" fontId="20" fillId="3" borderId="0" xfId="10" applyNumberFormat="1" applyFont="1" applyFill="1" applyBorder="1" applyAlignment="1">
      <alignment horizontal="left"/>
    </xf>
    <xf numFmtId="3" fontId="22" fillId="3" borderId="0" xfId="10" applyNumberFormat="1" applyFont="1" applyFill="1" applyBorder="1" applyAlignment="1">
      <alignment horizontal="center"/>
    </xf>
    <xf numFmtId="3" fontId="19" fillId="3" borderId="3" xfId="0" applyNumberFormat="1" applyFont="1" applyFill="1" applyBorder="1" applyAlignment="1">
      <alignment horizontal="right"/>
    </xf>
    <xf numFmtId="0" fontId="19" fillId="3" borderId="0" xfId="10" applyFont="1" applyFill="1" applyBorder="1" applyAlignment="1">
      <alignment wrapText="1"/>
    </xf>
    <xf numFmtId="3" fontId="22" fillId="3" borderId="0" xfId="10" applyNumberFormat="1" applyFont="1" applyFill="1" applyBorder="1" applyAlignment="1">
      <alignment horizontal="center" vertical="top"/>
    </xf>
    <xf numFmtId="0" fontId="23" fillId="3" borderId="0" xfId="0" applyFont="1" applyFill="1"/>
    <xf numFmtId="0" fontId="24" fillId="3" borderId="0" xfId="0" applyFont="1" applyFill="1"/>
    <xf numFmtId="3" fontId="19" fillId="3" borderId="9" xfId="10" applyNumberFormat="1" applyFont="1" applyFill="1" applyBorder="1" applyAlignment="1">
      <alignment horizontal="center" vertical="center" wrapText="1" shrinkToFit="1"/>
    </xf>
    <xf numFmtId="3" fontId="19" fillId="3" borderId="6" xfId="5" applyNumberFormat="1" applyFont="1" applyFill="1" applyBorder="1" applyAlignment="1">
      <alignment horizontal="center" vertical="center" wrapText="1"/>
    </xf>
    <xf numFmtId="0" fontId="24" fillId="3" borderId="122" xfId="0" applyFont="1" applyFill="1" applyBorder="1" applyAlignment="1">
      <alignment horizontal="center"/>
    </xf>
    <xf numFmtId="0" fontId="24" fillId="3" borderId="123" xfId="0" applyFont="1" applyFill="1" applyBorder="1" applyAlignment="1">
      <alignment horizontal="center"/>
    </xf>
    <xf numFmtId="0" fontId="6" fillId="3" borderId="122" xfId="0" applyFont="1" applyFill="1" applyBorder="1" applyAlignment="1" applyProtection="1">
      <alignment horizontal="left" wrapText="1"/>
    </xf>
    <xf numFmtId="3" fontId="21" fillId="3" borderId="124" xfId="10" applyNumberFormat="1" applyFont="1" applyFill="1" applyBorder="1" applyAlignment="1">
      <alignment horizontal="center" vertical="center" wrapText="1"/>
    </xf>
    <xf numFmtId="3" fontId="19" fillId="3" borderId="99" xfId="10" applyNumberFormat="1" applyFont="1" applyFill="1" applyBorder="1" applyAlignment="1">
      <alignment horizontal="right" vertical="center" wrapText="1"/>
    </xf>
    <xf numFmtId="3" fontId="19" fillId="3" borderId="99" xfId="5" applyNumberFormat="1" applyFont="1" applyFill="1" applyBorder="1" applyAlignment="1">
      <alignment horizontal="right" vertical="center" wrapText="1"/>
    </xf>
    <xf numFmtId="3" fontId="19" fillId="3" borderId="99" xfId="10" applyNumberFormat="1" applyFont="1" applyFill="1" applyBorder="1" applyAlignment="1">
      <alignment horizontal="right" vertical="center" wrapText="1" shrinkToFit="1"/>
    </xf>
    <xf numFmtId="3" fontId="19" fillId="3" borderId="111" xfId="5" applyNumberFormat="1" applyFont="1" applyFill="1" applyBorder="1" applyAlignment="1">
      <alignment horizontal="right" vertical="center" wrapText="1"/>
    </xf>
    <xf numFmtId="3" fontId="21" fillId="3" borderId="125" xfId="0" applyNumberFormat="1" applyFont="1" applyFill="1" applyBorder="1" applyAlignment="1">
      <alignment horizontal="right" vertical="center" wrapText="1"/>
    </xf>
    <xf numFmtId="3" fontId="19" fillId="3" borderId="126" xfId="5" applyNumberFormat="1" applyFont="1" applyFill="1" applyBorder="1" applyAlignment="1">
      <alignment horizontal="right" vertical="center" wrapText="1"/>
    </xf>
    <xf numFmtId="3" fontId="21" fillId="3" borderId="127" xfId="0" applyNumberFormat="1" applyFont="1" applyFill="1" applyBorder="1" applyAlignment="1">
      <alignment horizontal="right" wrapText="1"/>
    </xf>
    <xf numFmtId="0" fontId="24" fillId="3" borderId="3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6" fillId="3" borderId="3" xfId="0" applyFont="1" applyFill="1" applyBorder="1" applyAlignment="1" applyProtection="1">
      <alignment horizontal="left" wrapText="1"/>
    </xf>
    <xf numFmtId="3" fontId="21" fillId="3" borderId="12" xfId="10" applyNumberFormat="1" applyFont="1" applyFill="1" applyBorder="1" applyAlignment="1">
      <alignment horizontal="left" wrapText="1"/>
    </xf>
    <xf numFmtId="3" fontId="21" fillId="3" borderId="99" xfId="10" applyNumberFormat="1" applyFont="1" applyFill="1" applyBorder="1" applyAlignment="1">
      <alignment horizontal="center" vertical="center" wrapText="1"/>
    </xf>
    <xf numFmtId="3" fontId="19" fillId="3" borderId="4" xfId="0" applyNumberFormat="1" applyFont="1" applyFill="1" applyBorder="1" applyAlignment="1">
      <alignment horizontal="right"/>
    </xf>
    <xf numFmtId="3" fontId="19" fillId="3" borderId="7" xfId="0" applyNumberFormat="1" applyFont="1" applyFill="1" applyBorder="1" applyAlignment="1">
      <alignment horizontal="right"/>
    </xf>
    <xf numFmtId="3" fontId="21" fillId="3" borderId="128" xfId="0" applyNumberFormat="1" applyFont="1" applyFill="1" applyBorder="1" applyAlignment="1">
      <alignment horizontal="right"/>
    </xf>
    <xf numFmtId="3" fontId="21" fillId="3" borderId="12" xfId="10" applyNumberFormat="1" applyFont="1" applyFill="1" applyBorder="1" applyAlignment="1">
      <alignment horizontal="center" vertical="center" wrapText="1"/>
    </xf>
    <xf numFmtId="3" fontId="21" fillId="3" borderId="129" xfId="0" applyNumberFormat="1" applyFont="1" applyFill="1" applyBorder="1" applyAlignment="1">
      <alignment horizontal="right"/>
    </xf>
    <xf numFmtId="0" fontId="21" fillId="3" borderId="0" xfId="0" applyFont="1" applyFill="1"/>
    <xf numFmtId="3" fontId="25" fillId="3" borderId="5" xfId="10" applyNumberFormat="1" applyFont="1" applyFill="1" applyBorder="1" applyAlignment="1">
      <alignment horizontal="center" vertical="center"/>
    </xf>
    <xf numFmtId="3" fontId="21" fillId="3" borderId="5" xfId="0" applyNumberFormat="1" applyFont="1" applyFill="1" applyBorder="1" applyAlignment="1">
      <alignment horizontal="right"/>
    </xf>
    <xf numFmtId="3" fontId="21" fillId="3" borderId="54" xfId="0" applyNumberFormat="1" applyFont="1" applyFill="1" applyBorder="1" applyAlignment="1">
      <alignment horizontal="right"/>
    </xf>
    <xf numFmtId="3" fontId="21" fillId="3" borderId="8" xfId="0" applyNumberFormat="1" applyFont="1" applyFill="1" applyBorder="1" applyAlignment="1">
      <alignment horizontal="right"/>
    </xf>
    <xf numFmtId="0" fontId="27" fillId="3" borderId="0" xfId="0" applyFont="1" applyFill="1"/>
    <xf numFmtId="3" fontId="21" fillId="3" borderId="0" xfId="10" applyNumberFormat="1" applyFont="1" applyFill="1"/>
    <xf numFmtId="3" fontId="25" fillId="3" borderId="0" xfId="10" applyNumberFormat="1" applyFont="1" applyFill="1" applyAlignment="1">
      <alignment horizontal="center" vertical="top"/>
    </xf>
    <xf numFmtId="0" fontId="55" fillId="3" borderId="0" xfId="0" applyFont="1" applyFill="1"/>
    <xf numFmtId="0" fontId="56" fillId="3" borderId="0" xfId="0" applyFont="1" applyFill="1"/>
    <xf numFmtId="3" fontId="57" fillId="3" borderId="0" xfId="10" applyNumberFormat="1" applyFont="1" applyFill="1" applyAlignment="1">
      <alignment horizontal="center"/>
    </xf>
    <xf numFmtId="3" fontId="58" fillId="3" borderId="9" xfId="5" applyNumberFormat="1" applyFont="1" applyFill="1" applyBorder="1" applyAlignment="1">
      <alignment horizontal="center" vertical="center" wrapText="1"/>
    </xf>
    <xf numFmtId="3" fontId="58" fillId="3" borderId="99" xfId="5" applyNumberFormat="1" applyFont="1" applyFill="1" applyBorder="1" applyAlignment="1">
      <alignment horizontal="right" vertical="center" wrapText="1"/>
    </xf>
    <xf numFmtId="3" fontId="58" fillId="3" borderId="3" xfId="0" applyNumberFormat="1" applyFont="1" applyFill="1" applyBorder="1" applyAlignment="1">
      <alignment horizontal="right"/>
    </xf>
    <xf numFmtId="3" fontId="59" fillId="3" borderId="5" xfId="0" applyNumberFormat="1" applyFont="1" applyFill="1" applyBorder="1" applyAlignment="1">
      <alignment horizontal="right"/>
    </xf>
    <xf numFmtId="0" fontId="56" fillId="4" borderId="0" xfId="0" applyFont="1" applyFill="1"/>
    <xf numFmtId="0" fontId="55" fillId="4" borderId="0" xfId="0" applyFont="1" applyFill="1"/>
    <xf numFmtId="3" fontId="60" fillId="4" borderId="0" xfId="10" applyNumberFormat="1" applyFont="1" applyFill="1"/>
    <xf numFmtId="3" fontId="60" fillId="4" borderId="0" xfId="10" applyNumberFormat="1" applyFont="1" applyFill="1" applyAlignment="1">
      <alignment horizontal="right"/>
    </xf>
    <xf numFmtId="3" fontId="58" fillId="4" borderId="0" xfId="10" applyNumberFormat="1" applyFont="1" applyFill="1" applyAlignment="1">
      <alignment vertical="center"/>
    </xf>
    <xf numFmtId="3" fontId="58" fillId="4" borderId="0" xfId="10" applyNumberFormat="1" applyFont="1" applyFill="1"/>
    <xf numFmtId="3" fontId="60" fillId="4" borderId="0" xfId="10" applyNumberFormat="1" applyFont="1" applyFill="1" applyAlignment="1">
      <alignment horizontal="center" vertical="top"/>
    </xf>
    <xf numFmtId="0" fontId="59" fillId="4" borderId="0" xfId="10" applyFont="1" applyFill="1" applyBorder="1" applyAlignment="1">
      <alignment wrapText="1"/>
    </xf>
    <xf numFmtId="3" fontId="58" fillId="4" borderId="0" xfId="10" applyNumberFormat="1" applyFont="1" applyFill="1" applyAlignment="1">
      <alignment horizontal="right"/>
    </xf>
    <xf numFmtId="0" fontId="61" fillId="4" borderId="0" xfId="4" applyFont="1" applyFill="1"/>
    <xf numFmtId="3" fontId="58" fillId="4" borderId="0" xfId="10" applyNumberFormat="1" applyFont="1" applyFill="1" applyBorder="1" applyAlignment="1">
      <alignment horizontal="right"/>
    </xf>
    <xf numFmtId="3" fontId="57" fillId="4" borderId="0" xfId="10" applyNumberFormat="1" applyFont="1" applyFill="1" applyAlignment="1">
      <alignment horizontal="center"/>
    </xf>
    <xf numFmtId="3" fontId="60" fillId="4" borderId="0" xfId="10" applyNumberFormat="1" applyFont="1" applyFill="1" applyBorder="1" applyAlignment="1">
      <alignment horizontal="center" vertical="top"/>
    </xf>
    <xf numFmtId="3" fontId="57" fillId="4" borderId="0" xfId="10" applyNumberFormat="1" applyFont="1" applyFill="1" applyBorder="1" applyAlignment="1">
      <alignment horizontal="center" wrapText="1"/>
    </xf>
    <xf numFmtId="3" fontId="57" fillId="4" borderId="0" xfId="10" applyNumberFormat="1" applyFont="1" applyFill="1" applyBorder="1" applyAlignment="1">
      <alignment horizontal="center"/>
    </xf>
    <xf numFmtId="3" fontId="58" fillId="4" borderId="9" xfId="5" applyNumberFormat="1" applyFont="1" applyFill="1" applyBorder="1" applyAlignment="1">
      <alignment horizontal="center" vertical="center" wrapText="1"/>
    </xf>
    <xf numFmtId="3" fontId="58" fillId="4" borderId="3" xfId="10" applyNumberFormat="1" applyFont="1" applyFill="1" applyBorder="1" applyAlignment="1">
      <alignment horizontal="right"/>
    </xf>
    <xf numFmtId="3" fontId="59" fillId="4" borderId="129" xfId="10" applyNumberFormat="1" applyFont="1" applyFill="1" applyBorder="1" applyAlignment="1">
      <alignment horizontal="right"/>
    </xf>
    <xf numFmtId="3" fontId="59" fillId="4" borderId="7" xfId="10" applyNumberFormat="1" applyFont="1" applyFill="1" applyBorder="1" applyAlignment="1">
      <alignment horizontal="right"/>
    </xf>
    <xf numFmtId="3" fontId="59" fillId="4" borderId="3" xfId="10" applyNumberFormat="1" applyFont="1" applyFill="1" applyBorder="1" applyAlignment="1">
      <alignment horizontal="right"/>
    </xf>
    <xf numFmtId="3" fontId="59" fillId="4" borderId="4" xfId="10" applyNumberFormat="1" applyFont="1" applyFill="1" applyBorder="1" applyAlignment="1">
      <alignment horizontal="right"/>
    </xf>
    <xf numFmtId="3" fontId="59" fillId="4" borderId="128" xfId="10" applyNumberFormat="1" applyFont="1" applyFill="1" applyBorder="1" applyAlignment="1">
      <alignment horizontal="right"/>
    </xf>
    <xf numFmtId="3" fontId="58" fillId="4" borderId="3" xfId="10" applyNumberFormat="1" applyFont="1" applyFill="1" applyBorder="1" applyAlignment="1">
      <alignment horizontal="center"/>
    </xf>
    <xf numFmtId="3" fontId="62" fillId="4" borderId="7" xfId="10" applyNumberFormat="1" applyFont="1" applyFill="1" applyBorder="1" applyAlignment="1">
      <alignment horizontal="right"/>
    </xf>
    <xf numFmtId="3" fontId="62" fillId="4" borderId="3" xfId="10" applyNumberFormat="1" applyFont="1" applyFill="1" applyBorder="1" applyAlignment="1">
      <alignment horizontal="right"/>
    </xf>
    <xf numFmtId="3" fontId="62" fillId="4" borderId="4" xfId="10" applyNumberFormat="1" applyFont="1" applyFill="1" applyBorder="1" applyAlignment="1">
      <alignment horizontal="right"/>
    </xf>
    <xf numFmtId="3" fontId="60" fillId="4" borderId="16" xfId="10" applyNumberFormat="1" applyFont="1" applyFill="1" applyBorder="1" applyAlignment="1">
      <alignment horizontal="center" vertical="center"/>
    </xf>
    <xf numFmtId="3" fontId="60" fillId="4" borderId="5" xfId="10" applyNumberFormat="1" applyFont="1" applyFill="1" applyBorder="1" applyAlignment="1">
      <alignment horizontal="center" vertical="center"/>
    </xf>
    <xf numFmtId="3" fontId="59" fillId="4" borderId="5" xfId="10" applyNumberFormat="1" applyFont="1" applyFill="1" applyBorder="1" applyAlignment="1">
      <alignment vertical="center" wrapText="1"/>
    </xf>
    <xf numFmtId="3" fontId="59" fillId="4" borderId="5" xfId="10" applyNumberFormat="1" applyFont="1" applyFill="1" applyBorder="1" applyAlignment="1">
      <alignment horizontal="right" vertical="center"/>
    </xf>
    <xf numFmtId="3" fontId="58" fillId="4" borderId="0" xfId="10" applyNumberFormat="1" applyFont="1" applyFill="1" applyAlignment="1">
      <alignment wrapText="1"/>
    </xf>
    <xf numFmtId="3" fontId="60" fillId="4" borderId="0" xfId="10" applyNumberFormat="1" applyFont="1" applyFill="1" applyBorder="1" applyAlignment="1">
      <alignment horizontal="left"/>
    </xf>
    <xf numFmtId="0" fontId="58" fillId="4" borderId="0" xfId="10" applyFont="1" applyFill="1" applyBorder="1" applyAlignment="1">
      <alignment wrapText="1"/>
    </xf>
    <xf numFmtId="3" fontId="58" fillId="4" borderId="0" xfId="10" applyNumberFormat="1" applyFont="1" applyFill="1" applyAlignment="1">
      <alignment horizontal="center"/>
    </xf>
    <xf numFmtId="3" fontId="58" fillId="4" borderId="4" xfId="10" applyNumberFormat="1" applyFont="1" applyFill="1" applyBorder="1" applyAlignment="1">
      <alignment horizontal="center"/>
    </xf>
    <xf numFmtId="3" fontId="59" fillId="4" borderId="3" xfId="19" applyNumberFormat="1" applyFont="1" applyFill="1" applyBorder="1" applyAlignment="1">
      <alignment wrapText="1"/>
    </xf>
    <xf numFmtId="3" fontId="58" fillId="4" borderId="3" xfId="10" applyNumberFormat="1" applyFont="1" applyFill="1" applyBorder="1" applyAlignment="1">
      <alignment horizontal="center" vertical="center" wrapText="1"/>
    </xf>
    <xf numFmtId="3" fontId="62" fillId="4" borderId="3" xfId="10" applyNumberFormat="1" applyFont="1" applyFill="1" applyBorder="1" applyAlignment="1">
      <alignment horizontal="center" wrapText="1"/>
    </xf>
    <xf numFmtId="3" fontId="59" fillId="4" borderId="3" xfId="10" applyNumberFormat="1" applyFont="1" applyFill="1" applyBorder="1" applyAlignment="1">
      <alignment horizontal="center" wrapText="1"/>
    </xf>
    <xf numFmtId="3" fontId="59" fillId="4" borderId="3" xfId="5" applyNumberFormat="1" applyFont="1" applyFill="1" applyBorder="1" applyAlignment="1">
      <alignment horizontal="left"/>
    </xf>
    <xf numFmtId="3" fontId="58" fillId="4" borderId="3" xfId="5" applyNumberFormat="1" applyFont="1" applyFill="1" applyBorder="1" applyAlignment="1">
      <alignment horizontal="center" vertical="center"/>
    </xf>
    <xf numFmtId="3" fontId="63" fillId="4" borderId="3" xfId="19" applyNumberFormat="1" applyFont="1" applyFill="1" applyBorder="1" applyAlignment="1">
      <alignment horizontal="left" wrapText="1" indent="1"/>
    </xf>
    <xf numFmtId="0" fontId="62" fillId="4" borderId="3" xfId="4" applyFont="1" applyFill="1" applyBorder="1" applyAlignment="1">
      <alignment horizontal="center" wrapText="1"/>
    </xf>
    <xf numFmtId="3" fontId="58" fillId="4" borderId="5" xfId="10" applyNumberFormat="1" applyFont="1" applyFill="1" applyBorder="1" applyAlignment="1">
      <alignment vertical="center" wrapText="1"/>
    </xf>
    <xf numFmtId="3" fontId="59" fillId="4" borderId="5" xfId="10" applyNumberFormat="1" applyFont="1" applyFill="1" applyBorder="1" applyAlignment="1">
      <alignment horizontal="center" wrapText="1"/>
    </xf>
    <xf numFmtId="3" fontId="21" fillId="0" borderId="132" xfId="10" applyNumberFormat="1" applyFont="1" applyFill="1" applyBorder="1" applyAlignment="1">
      <alignment horizontal="right"/>
    </xf>
    <xf numFmtId="3" fontId="21" fillId="0" borderId="133" xfId="10" applyNumberFormat="1" applyFont="1" applyFill="1" applyBorder="1" applyAlignment="1">
      <alignment horizontal="right"/>
    </xf>
    <xf numFmtId="0" fontId="45" fillId="4" borderId="0" xfId="0" applyFont="1" applyFill="1"/>
    <xf numFmtId="0" fontId="46" fillId="4" borderId="0" xfId="0" applyFont="1" applyFill="1" applyAlignment="1">
      <alignment wrapText="1"/>
    </xf>
    <xf numFmtId="0" fontId="46" fillId="4" borderId="0" xfId="0" applyFont="1" applyFill="1"/>
    <xf numFmtId="3" fontId="15" fillId="4" borderId="0" xfId="10" applyNumberFormat="1" applyFont="1" applyFill="1"/>
    <xf numFmtId="3" fontId="13" fillId="4" borderId="0" xfId="10" applyNumberFormat="1" applyFont="1" applyFill="1" applyBorder="1" applyAlignment="1">
      <alignment horizontal="left"/>
    </xf>
    <xf numFmtId="3" fontId="15" fillId="4" borderId="0" xfId="10" applyNumberFormat="1" applyFont="1" applyFill="1" applyBorder="1" applyAlignment="1">
      <alignment horizontal="center"/>
    </xf>
    <xf numFmtId="3" fontId="15" fillId="4" borderId="0" xfId="10" applyNumberFormat="1" applyFont="1" applyFill="1" applyAlignment="1">
      <alignment horizontal="right"/>
    </xf>
    <xf numFmtId="0" fontId="45" fillId="4" borderId="0" xfId="0" applyFont="1" applyFill="1" applyAlignment="1">
      <alignment wrapText="1"/>
    </xf>
    <xf numFmtId="3" fontId="7" fillId="4" borderId="0" xfId="10" applyNumberFormat="1" applyFont="1" applyFill="1" applyAlignment="1">
      <alignment vertical="center"/>
    </xf>
    <xf numFmtId="3" fontId="7" fillId="4" borderId="0" xfId="10" applyNumberFormat="1" applyFont="1" applyFill="1"/>
    <xf numFmtId="3" fontId="15" fillId="4" borderId="0" xfId="10" applyNumberFormat="1" applyFont="1" applyFill="1" applyAlignment="1">
      <alignment horizontal="center" vertical="top"/>
    </xf>
    <xf numFmtId="0" fontId="6" fillId="4" borderId="0" xfId="10" applyFont="1" applyFill="1" applyBorder="1" applyAlignment="1">
      <alignment wrapText="1"/>
    </xf>
    <xf numFmtId="0" fontId="7" fillId="4" borderId="0" xfId="10" applyFont="1" applyFill="1" applyBorder="1" applyAlignment="1">
      <alignment horizontal="center" wrapText="1"/>
    </xf>
    <xf numFmtId="3" fontId="7" fillId="4" borderId="0" xfId="10" applyNumberFormat="1" applyFont="1" applyFill="1" applyAlignment="1">
      <alignment horizontal="right"/>
    </xf>
    <xf numFmtId="0" fontId="1" fillId="4" borderId="0" xfId="4" applyFont="1" applyFill="1"/>
    <xf numFmtId="3" fontId="7" fillId="4" borderId="0" xfId="10" applyNumberFormat="1" applyFont="1" applyFill="1" applyBorder="1" applyAlignment="1">
      <alignment horizontal="right"/>
    </xf>
    <xf numFmtId="3" fontId="14" fillId="4" borderId="0" xfId="10" applyNumberFormat="1" applyFont="1" applyFill="1" applyAlignment="1">
      <alignment horizontal="center"/>
    </xf>
    <xf numFmtId="3" fontId="15" fillId="4" borderId="0" xfId="10" applyNumberFormat="1" applyFont="1" applyFill="1" applyBorder="1" applyAlignment="1">
      <alignment horizontal="center" vertical="top"/>
    </xf>
    <xf numFmtId="3" fontId="14" fillId="4" borderId="0" xfId="10" applyNumberFormat="1" applyFont="1" applyFill="1" applyBorder="1" applyAlignment="1">
      <alignment horizontal="center" wrapText="1"/>
    </xf>
    <xf numFmtId="3" fontId="10" fillId="4" borderId="0" xfId="10" applyNumberFormat="1" applyFont="1" applyFill="1" applyAlignment="1">
      <alignment horizontal="center"/>
    </xf>
    <xf numFmtId="3" fontId="14" fillId="4" borderId="0" xfId="10" applyNumberFormat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0" fontId="7" fillId="4" borderId="0" xfId="0" applyFont="1" applyFill="1"/>
    <xf numFmtId="3" fontId="7" fillId="4" borderId="9" xfId="5" applyNumberFormat="1" applyFont="1" applyFill="1" applyBorder="1" applyAlignment="1">
      <alignment horizontal="center" vertical="center" wrapText="1"/>
    </xf>
    <xf numFmtId="3" fontId="6" fillId="4" borderId="4" xfId="10" applyNumberFormat="1" applyFont="1" applyFill="1" applyBorder="1"/>
    <xf numFmtId="3" fontId="6" fillId="4" borderId="3" xfId="10" applyNumberFormat="1" applyFont="1" applyFill="1" applyBorder="1" applyAlignment="1">
      <alignment horizontal="center" vertical="center"/>
    </xf>
    <xf numFmtId="3" fontId="6" fillId="4" borderId="3" xfId="19" applyNumberFormat="1" applyFont="1" applyFill="1" applyBorder="1" applyAlignment="1">
      <alignment horizontal="left" wrapText="1"/>
    </xf>
    <xf numFmtId="3" fontId="6" fillId="4" borderId="3" xfId="10" applyNumberFormat="1" applyFont="1" applyFill="1" applyBorder="1" applyAlignment="1">
      <alignment horizontal="center" vertical="center" wrapText="1"/>
    </xf>
    <xf numFmtId="3" fontId="7" fillId="4" borderId="3" xfId="19" applyNumberFormat="1" applyFont="1" applyFill="1" applyBorder="1" applyAlignment="1">
      <alignment horizontal="center" wrapText="1"/>
    </xf>
    <xf numFmtId="3" fontId="7" fillId="4" borderId="3" xfId="10" applyNumberFormat="1" applyFont="1" applyFill="1" applyBorder="1" applyAlignment="1">
      <alignment horizontal="right"/>
    </xf>
    <xf numFmtId="3" fontId="7" fillId="4" borderId="4" xfId="10" applyNumberFormat="1" applyFont="1" applyFill="1" applyBorder="1" applyAlignment="1">
      <alignment horizontal="right"/>
    </xf>
    <xf numFmtId="3" fontId="6" fillId="4" borderId="129" xfId="10" applyNumberFormat="1" applyFont="1" applyFill="1" applyBorder="1" applyAlignment="1">
      <alignment horizontal="right"/>
    </xf>
    <xf numFmtId="3" fontId="6" fillId="4" borderId="7" xfId="10" applyNumberFormat="1" applyFont="1" applyFill="1" applyBorder="1" applyAlignment="1">
      <alignment horizontal="right"/>
    </xf>
    <xf numFmtId="3" fontId="6" fillId="4" borderId="3" xfId="10" applyNumberFormat="1" applyFont="1" applyFill="1" applyBorder="1" applyAlignment="1">
      <alignment horizontal="right"/>
    </xf>
    <xf numFmtId="3" fontId="6" fillId="4" borderId="4" xfId="10" applyNumberFormat="1" applyFont="1" applyFill="1" applyBorder="1" applyAlignment="1">
      <alignment horizontal="right"/>
    </xf>
    <xf numFmtId="3" fontId="6" fillId="4" borderId="128" xfId="10" applyNumberFormat="1" applyFont="1" applyFill="1" applyBorder="1" applyAlignment="1">
      <alignment horizontal="right"/>
    </xf>
    <xf numFmtId="3" fontId="6" fillId="4" borderId="3" xfId="10" applyNumberFormat="1" applyFont="1" applyFill="1" applyBorder="1"/>
    <xf numFmtId="3" fontId="13" fillId="4" borderId="3" xfId="10" applyNumberFormat="1" applyFont="1" applyFill="1" applyBorder="1" applyAlignment="1">
      <alignment horizontal="center" vertical="center"/>
    </xf>
    <xf numFmtId="3" fontId="6" fillId="4" borderId="3" xfId="10" applyNumberFormat="1" applyFont="1" applyFill="1" applyBorder="1" applyAlignment="1">
      <alignment wrapText="1"/>
    </xf>
    <xf numFmtId="3" fontId="7" fillId="4" borderId="3" xfId="10" applyNumberFormat="1" applyFont="1" applyFill="1" applyBorder="1" applyAlignment="1">
      <alignment horizontal="center" wrapText="1"/>
    </xf>
    <xf numFmtId="3" fontId="15" fillId="4" borderId="3" xfId="10" applyNumberFormat="1" applyFont="1" applyFill="1" applyBorder="1" applyAlignment="1">
      <alignment horizontal="center"/>
    </xf>
    <xf numFmtId="0" fontId="6" fillId="4" borderId="3" xfId="0" applyFont="1" applyFill="1" applyBorder="1"/>
    <xf numFmtId="3" fontId="6" fillId="4" borderId="3" xfId="10" applyNumberFormat="1" applyFont="1" applyFill="1" applyBorder="1" applyAlignment="1">
      <alignment horizontal="left" wrapText="1"/>
    </xf>
    <xf numFmtId="3" fontId="47" fillId="4" borderId="3" xfId="10" applyNumberFormat="1" applyFont="1" applyFill="1" applyBorder="1" applyAlignment="1">
      <alignment horizontal="center" vertical="center" wrapText="1"/>
    </xf>
    <xf numFmtId="3" fontId="6" fillId="4" borderId="3" xfId="10" applyNumberFormat="1" applyFont="1" applyFill="1" applyBorder="1" applyAlignment="1">
      <alignment horizontal="center" vertical="top"/>
    </xf>
    <xf numFmtId="3" fontId="13" fillId="4" borderId="3" xfId="10" applyNumberFormat="1" applyFont="1" applyFill="1" applyBorder="1" applyAlignment="1">
      <alignment horizontal="center" vertical="top"/>
    </xf>
    <xf numFmtId="3" fontId="6" fillId="4" borderId="3" xfId="10" applyNumberFormat="1" applyFont="1" applyFill="1" applyBorder="1" applyAlignment="1">
      <alignment vertical="center"/>
    </xf>
    <xf numFmtId="3" fontId="6" fillId="4" borderId="3" xfId="10" applyNumberFormat="1" applyFont="1" applyFill="1" applyBorder="1" applyAlignment="1">
      <alignment vertical="center" wrapText="1"/>
    </xf>
    <xf numFmtId="3" fontId="7" fillId="4" borderId="3" xfId="10" applyNumberFormat="1" applyFont="1" applyFill="1" applyBorder="1" applyAlignment="1">
      <alignment horizontal="right" vertical="center"/>
    </xf>
    <xf numFmtId="3" fontId="7" fillId="4" borderId="4" xfId="10" applyNumberFormat="1" applyFont="1" applyFill="1" applyBorder="1" applyAlignment="1">
      <alignment horizontal="right" vertical="center"/>
    </xf>
    <xf numFmtId="3" fontId="6" fillId="4" borderId="7" xfId="10" applyNumberFormat="1" applyFont="1" applyFill="1" applyBorder="1" applyAlignment="1">
      <alignment horizontal="right" vertical="center"/>
    </xf>
    <xf numFmtId="3" fontId="6" fillId="4" borderId="3" xfId="10" applyNumberFormat="1" applyFont="1" applyFill="1" applyBorder="1" applyAlignment="1">
      <alignment horizontal="right" vertical="center"/>
    </xf>
    <xf numFmtId="3" fontId="6" fillId="4" borderId="4" xfId="10" applyNumberFormat="1" applyFont="1" applyFill="1" applyBorder="1" applyAlignment="1">
      <alignment horizontal="right" vertical="center"/>
    </xf>
    <xf numFmtId="3" fontId="13" fillId="4" borderId="3" xfId="10" applyNumberFormat="1" applyFont="1" applyFill="1" applyBorder="1" applyAlignment="1">
      <alignment horizontal="center"/>
    </xf>
    <xf numFmtId="0" fontId="6" fillId="4" borderId="3" xfId="21" applyFont="1" applyFill="1" applyBorder="1" applyAlignment="1">
      <alignment horizontal="left" wrapText="1"/>
    </xf>
    <xf numFmtId="0" fontId="6" fillId="4" borderId="3" xfId="21" applyFont="1" applyFill="1" applyBorder="1" applyAlignment="1">
      <alignment horizontal="center" vertical="center" wrapText="1"/>
    </xf>
    <xf numFmtId="3" fontId="47" fillId="4" borderId="3" xfId="10" applyNumberFormat="1" applyFont="1" applyFill="1" applyBorder="1" applyAlignment="1">
      <alignment wrapText="1"/>
    </xf>
    <xf numFmtId="3" fontId="48" fillId="4" borderId="3" xfId="10" applyNumberFormat="1" applyFont="1" applyFill="1" applyBorder="1" applyAlignment="1">
      <alignment horizontal="center" wrapText="1"/>
    </xf>
    <xf numFmtId="3" fontId="47" fillId="4" borderId="3" xfId="10" applyNumberFormat="1" applyFont="1" applyFill="1" applyBorder="1"/>
    <xf numFmtId="3" fontId="47" fillId="4" borderId="3" xfId="10" applyNumberFormat="1" applyFont="1" applyFill="1" applyBorder="1" applyAlignment="1">
      <alignment horizontal="center" vertical="top"/>
    </xf>
    <xf numFmtId="3" fontId="47" fillId="4" borderId="7" xfId="10" applyNumberFormat="1" applyFont="1" applyFill="1" applyBorder="1" applyAlignment="1">
      <alignment horizontal="right"/>
    </xf>
    <xf numFmtId="3" fontId="47" fillId="4" borderId="3" xfId="10" applyNumberFormat="1" applyFont="1" applyFill="1" applyBorder="1" applyAlignment="1">
      <alignment horizontal="right"/>
    </xf>
    <xf numFmtId="3" fontId="47" fillId="4" borderId="4" xfId="10" applyNumberFormat="1" applyFont="1" applyFill="1" applyBorder="1" applyAlignment="1">
      <alignment horizontal="right"/>
    </xf>
    <xf numFmtId="3" fontId="6" fillId="4" borderId="3" xfId="10" applyNumberFormat="1" applyFont="1" applyFill="1" applyBorder="1" applyAlignment="1">
      <alignment horizontal="center"/>
    </xf>
    <xf numFmtId="3" fontId="38" fillId="4" borderId="3" xfId="10" applyNumberFormat="1" applyFont="1" applyFill="1" applyBorder="1" applyAlignment="1">
      <alignment wrapText="1"/>
    </xf>
    <xf numFmtId="3" fontId="37" fillId="4" borderId="3" xfId="10" applyNumberFormat="1" applyFont="1" applyFill="1" applyBorder="1" applyAlignment="1">
      <alignment horizontal="center" wrapText="1"/>
    </xf>
    <xf numFmtId="0" fontId="47" fillId="4" borderId="3" xfId="4" applyFont="1" applyFill="1" applyBorder="1" applyAlignment="1">
      <alignment wrapText="1"/>
    </xf>
    <xf numFmtId="0" fontId="48" fillId="4" borderId="3" xfId="4" applyFont="1" applyFill="1" applyBorder="1" applyAlignment="1">
      <alignment horizontal="center" wrapText="1"/>
    </xf>
    <xf numFmtId="3" fontId="6" fillId="4" borderId="27" xfId="10" applyNumberFormat="1" applyFont="1" applyFill="1" applyBorder="1"/>
    <xf numFmtId="3" fontId="7" fillId="4" borderId="21" xfId="10" applyNumberFormat="1" applyFont="1" applyFill="1" applyBorder="1" applyAlignment="1">
      <alignment horizontal="center" wrapText="1"/>
    </xf>
    <xf numFmtId="3" fontId="7" fillId="4" borderId="21" xfId="10" applyNumberFormat="1" applyFont="1" applyFill="1" applyBorder="1" applyAlignment="1">
      <alignment horizontal="right"/>
    </xf>
    <xf numFmtId="3" fontId="7" fillId="4" borderId="27" xfId="10" applyNumberFormat="1" applyFont="1" applyFill="1" applyBorder="1" applyAlignment="1">
      <alignment horizontal="right"/>
    </xf>
    <xf numFmtId="3" fontId="6" fillId="4" borderId="22" xfId="10" applyNumberFormat="1" applyFont="1" applyFill="1" applyBorder="1" applyAlignment="1">
      <alignment horizontal="right"/>
    </xf>
    <xf numFmtId="3" fontId="6" fillId="4" borderId="21" xfId="10" applyNumberFormat="1" applyFont="1" applyFill="1" applyBorder="1" applyAlignment="1">
      <alignment horizontal="right"/>
    </xf>
    <xf numFmtId="3" fontId="15" fillId="4" borderId="16" xfId="10" applyNumberFormat="1" applyFont="1" applyFill="1" applyBorder="1" applyAlignment="1">
      <alignment horizontal="center" vertical="center"/>
    </xf>
    <xf numFmtId="3" fontId="15" fillId="4" borderId="5" xfId="10" applyNumberFormat="1" applyFont="1" applyFill="1" applyBorder="1" applyAlignment="1">
      <alignment horizontal="center" vertical="center"/>
    </xf>
    <xf numFmtId="3" fontId="6" fillId="4" borderId="5" xfId="10" applyNumberFormat="1" applyFont="1" applyFill="1" applyBorder="1" applyAlignment="1">
      <alignment vertical="center" wrapText="1"/>
    </xf>
    <xf numFmtId="3" fontId="7" fillId="4" borderId="5" xfId="10" applyNumberFormat="1" applyFont="1" applyFill="1" applyBorder="1" applyAlignment="1">
      <alignment horizontal="center" wrapText="1"/>
    </xf>
    <xf numFmtId="3" fontId="6" fillId="4" borderId="5" xfId="10" applyNumberFormat="1" applyFont="1" applyFill="1" applyBorder="1" applyAlignment="1">
      <alignment horizontal="right" vertical="center"/>
    </xf>
    <xf numFmtId="3" fontId="6" fillId="4" borderId="134" xfId="10" applyNumberFormat="1" applyFont="1" applyFill="1" applyBorder="1" applyAlignment="1">
      <alignment horizontal="right"/>
    </xf>
    <xf numFmtId="3" fontId="7" fillId="4" borderId="0" xfId="10" applyNumberFormat="1" applyFont="1" applyFill="1" applyAlignment="1">
      <alignment wrapText="1"/>
    </xf>
    <xf numFmtId="3" fontId="6" fillId="4" borderId="0" xfId="10" applyNumberFormat="1" applyFont="1" applyFill="1" applyAlignment="1">
      <alignment wrapText="1"/>
    </xf>
    <xf numFmtId="3" fontId="7" fillId="4" borderId="0" xfId="10" applyNumberFormat="1" applyFont="1" applyFill="1" applyAlignment="1">
      <alignment horizontal="center" wrapText="1"/>
    </xf>
    <xf numFmtId="3" fontId="49" fillId="4" borderId="0" xfId="10" applyNumberFormat="1" applyFont="1" applyFill="1" applyAlignment="1">
      <alignment horizontal="right"/>
    </xf>
    <xf numFmtId="3" fontId="7" fillId="4" borderId="0" xfId="10" applyNumberFormat="1" applyFont="1" applyFill="1" applyAlignment="1">
      <alignment horizontal="left"/>
    </xf>
    <xf numFmtId="3" fontId="6" fillId="4" borderId="0" xfId="10" applyNumberFormat="1" applyFont="1" applyFill="1" applyAlignment="1">
      <alignment horizontal="right"/>
    </xf>
    <xf numFmtId="0" fontId="8" fillId="3" borderId="0" xfId="20" applyFont="1" applyFill="1" applyProtection="1"/>
    <xf numFmtId="0" fontId="8" fillId="3" borderId="0" xfId="20" applyFont="1" applyFill="1" applyAlignment="1" applyProtection="1">
      <alignment horizontal="right" vertical="center" indent="1"/>
    </xf>
    <xf numFmtId="0" fontId="12" fillId="3" borderId="92" xfId="0" applyFont="1" applyFill="1" applyBorder="1" applyAlignment="1" applyProtection="1">
      <alignment horizontal="right" vertical="center"/>
    </xf>
    <xf numFmtId="0" fontId="10" fillId="3" borderId="49" xfId="20" applyFont="1" applyFill="1" applyBorder="1" applyAlignment="1" applyProtection="1">
      <alignment horizontal="center" vertical="center" wrapText="1"/>
    </xf>
    <xf numFmtId="0" fontId="10" fillId="3" borderId="50" xfId="20" applyFont="1" applyFill="1" applyBorder="1" applyAlignment="1" applyProtection="1">
      <alignment horizontal="center" vertical="center" wrapText="1"/>
    </xf>
    <xf numFmtId="0" fontId="13" fillId="3" borderId="51" xfId="20" applyFont="1" applyFill="1" applyBorder="1" applyAlignment="1" applyProtection="1">
      <alignment horizontal="center" vertical="center" wrapText="1"/>
    </xf>
    <xf numFmtId="0" fontId="10" fillId="3" borderId="38" xfId="20" applyFont="1" applyFill="1" applyBorder="1" applyAlignment="1" applyProtection="1">
      <alignment horizontal="center" vertical="center" wrapText="1"/>
    </xf>
    <xf numFmtId="0" fontId="10" fillId="3" borderId="39" xfId="20" applyFont="1" applyFill="1" applyBorder="1" applyAlignment="1" applyProtection="1">
      <alignment horizontal="center" vertical="center" wrapText="1"/>
    </xf>
    <xf numFmtId="0" fontId="13" fillId="3" borderId="40" xfId="20" applyFont="1" applyFill="1" applyBorder="1" applyAlignment="1" applyProtection="1">
      <alignment horizontal="center" vertical="center" wrapText="1"/>
    </xf>
    <xf numFmtId="0" fontId="10" fillId="3" borderId="49" xfId="20" applyFont="1" applyFill="1" applyBorder="1" applyAlignment="1" applyProtection="1">
      <alignment horizontal="left" vertical="center" wrapText="1" indent="1"/>
    </xf>
    <xf numFmtId="0" fontId="10" fillId="3" borderId="50" xfId="20" applyFont="1" applyFill="1" applyBorder="1" applyAlignment="1" applyProtection="1">
      <alignment horizontal="left" vertical="center" wrapText="1" indent="1"/>
    </xf>
    <xf numFmtId="165" fontId="13" fillId="3" borderId="51" xfId="20" applyNumberFormat="1" applyFont="1" applyFill="1" applyBorder="1" applyAlignment="1" applyProtection="1">
      <alignment horizontal="right" vertical="center" wrapText="1" indent="1"/>
    </xf>
    <xf numFmtId="49" fontId="14" fillId="3" borderId="135" xfId="20" applyNumberFormat="1" applyFont="1" applyFill="1" applyBorder="1" applyAlignment="1" applyProtection="1">
      <alignment horizontal="left" vertical="center" wrapText="1" indent="1"/>
    </xf>
    <xf numFmtId="0" fontId="14" fillId="3" borderId="136" xfId="0" applyFont="1" applyFill="1" applyBorder="1" applyAlignment="1" applyProtection="1">
      <alignment horizontal="left" wrapText="1" indent="1"/>
    </xf>
    <xf numFmtId="3" fontId="15" fillId="3" borderId="46" xfId="5" applyNumberFormat="1" applyFont="1" applyFill="1" applyBorder="1" applyAlignment="1">
      <alignment horizontal="right" vertical="center" indent="1"/>
    </xf>
    <xf numFmtId="49" fontId="14" fillId="3" borderId="44" xfId="20" applyNumberFormat="1" applyFont="1" applyFill="1" applyBorder="1" applyAlignment="1" applyProtection="1">
      <alignment horizontal="left" vertical="center" wrapText="1" indent="1"/>
    </xf>
    <xf numFmtId="0" fontId="14" fillId="3" borderId="45" xfId="0" applyFont="1" applyFill="1" applyBorder="1" applyAlignment="1" applyProtection="1">
      <alignment horizontal="left" wrapText="1" indent="1"/>
    </xf>
    <xf numFmtId="165" fontId="15" fillId="3" borderId="46" xfId="20" applyNumberFormat="1" applyFont="1" applyFill="1" applyBorder="1" applyAlignment="1" applyProtection="1">
      <alignment horizontal="right" vertical="center" wrapText="1" indent="1"/>
      <protection locked="0"/>
    </xf>
    <xf numFmtId="0" fontId="10" fillId="3" borderId="50" xfId="0" applyFont="1" applyFill="1" applyBorder="1" applyAlignment="1" applyProtection="1">
      <alignment horizontal="left" vertical="center" wrapText="1" indent="1"/>
    </xf>
    <xf numFmtId="49" fontId="14" fillId="3" borderId="47" xfId="20" applyNumberFormat="1" applyFont="1" applyFill="1" applyBorder="1" applyAlignment="1" applyProtection="1">
      <alignment horizontal="left" vertical="center" wrapText="1" indent="1"/>
    </xf>
    <xf numFmtId="0" fontId="16" fillId="3" borderId="48" xfId="0" applyFont="1" applyFill="1" applyBorder="1" applyAlignment="1" applyProtection="1">
      <alignment horizontal="left" wrapText="1" indent="1"/>
    </xf>
    <xf numFmtId="165" fontId="17" fillId="3" borderId="137" xfId="20" applyNumberFormat="1" applyFont="1" applyFill="1" applyBorder="1" applyAlignment="1" applyProtection="1">
      <alignment horizontal="right" vertical="center" wrapText="1" indent="1"/>
      <protection locked="0"/>
    </xf>
    <xf numFmtId="0" fontId="14" fillId="3" borderId="48" xfId="0" applyFont="1" applyFill="1" applyBorder="1" applyAlignment="1" applyProtection="1">
      <alignment horizontal="left" wrapText="1" indent="1"/>
    </xf>
    <xf numFmtId="165" fontId="15" fillId="3" borderId="137" xfId="20" applyNumberFormat="1" applyFont="1" applyFill="1" applyBorder="1" applyAlignment="1" applyProtection="1">
      <alignment horizontal="right" vertical="center" wrapText="1" indent="1"/>
      <protection locked="0"/>
    </xf>
    <xf numFmtId="0" fontId="14" fillId="3" borderId="41" xfId="20" applyFont="1" applyFill="1" applyBorder="1" applyAlignment="1" applyProtection="1">
      <alignment horizontal="left" vertical="center" wrapText="1" indent="1"/>
    </xf>
    <xf numFmtId="0" fontId="14" fillId="3" borderId="42" xfId="20" applyFont="1" applyFill="1" applyBorder="1" applyAlignment="1" applyProtection="1">
      <alignment horizontal="left" vertical="center" wrapText="1" indent="1"/>
    </xf>
    <xf numFmtId="0" fontId="16" fillId="3" borderId="45" xfId="0" applyFont="1" applyFill="1" applyBorder="1" applyAlignment="1" applyProtection="1">
      <alignment horizontal="left" wrapText="1" indent="1"/>
    </xf>
    <xf numFmtId="165" fontId="17" fillId="3" borderId="46" xfId="20" applyNumberFormat="1" applyFont="1" applyFill="1" applyBorder="1" applyAlignment="1" applyProtection="1">
      <alignment horizontal="right" vertical="center" wrapText="1" indent="1"/>
      <protection locked="0"/>
    </xf>
    <xf numFmtId="165" fontId="15" fillId="3" borderId="138" xfId="20" applyNumberFormat="1" applyFont="1" applyFill="1" applyBorder="1" applyAlignment="1" applyProtection="1">
      <alignment horizontal="right" vertical="center" wrapText="1" indent="1"/>
      <protection locked="0"/>
    </xf>
    <xf numFmtId="165" fontId="17" fillId="3" borderId="138" xfId="20" applyNumberFormat="1" applyFont="1" applyFill="1" applyBorder="1" applyAlignment="1" applyProtection="1">
      <alignment horizontal="right" vertical="center" wrapText="1" indent="1"/>
      <protection locked="0"/>
    </xf>
    <xf numFmtId="0" fontId="10" fillId="3" borderId="49" xfId="0" applyFont="1" applyFill="1" applyBorder="1" applyAlignment="1" applyProtection="1">
      <alignment wrapText="1"/>
    </xf>
    <xf numFmtId="0" fontId="14" fillId="3" borderId="48" xfId="0" applyFont="1" applyFill="1" applyBorder="1" applyAlignment="1" applyProtection="1">
      <alignment wrapText="1"/>
    </xf>
    <xf numFmtId="0" fontId="14" fillId="3" borderId="135" xfId="0" applyFont="1" applyFill="1" applyBorder="1" applyAlignment="1" applyProtection="1">
      <alignment wrapText="1"/>
    </xf>
    <xf numFmtId="0" fontId="14" fillId="3" borderId="44" xfId="0" applyFont="1" applyFill="1" applyBorder="1" applyAlignment="1" applyProtection="1">
      <alignment wrapText="1"/>
    </xf>
    <xf numFmtId="0" fontId="14" fillId="3" borderId="47" xfId="0" applyFont="1" applyFill="1" applyBorder="1" applyAlignment="1" applyProtection="1">
      <alignment wrapText="1"/>
    </xf>
    <xf numFmtId="165" fontId="13" fillId="3" borderId="51" xfId="20" applyNumberFormat="1" applyFont="1" applyFill="1" applyBorder="1" applyAlignment="1" applyProtection="1">
      <alignment horizontal="right" vertical="center" wrapText="1" indent="1"/>
      <protection locked="0"/>
    </xf>
    <xf numFmtId="0" fontId="10" fillId="3" borderId="50" xfId="0" applyFont="1" applyFill="1" applyBorder="1" applyAlignment="1" applyProtection="1">
      <alignment wrapText="1"/>
    </xf>
    <xf numFmtId="0" fontId="10" fillId="3" borderId="139" xfId="0" applyFont="1" applyFill="1" applyBorder="1" applyAlignment="1" applyProtection="1">
      <alignment wrapText="1"/>
    </xf>
    <xf numFmtId="0" fontId="10" fillId="3" borderId="93" xfId="0" applyFont="1" applyFill="1" applyBorder="1" applyAlignment="1" applyProtection="1">
      <alignment wrapText="1"/>
    </xf>
    <xf numFmtId="0" fontId="10" fillId="3" borderId="0" xfId="20" applyFont="1" applyFill="1" applyBorder="1" applyAlignment="1" applyProtection="1">
      <alignment horizontal="center" vertical="center" wrapText="1"/>
    </xf>
    <xf numFmtId="0" fontId="10" fillId="3" borderId="0" xfId="20" applyFont="1" applyFill="1" applyBorder="1" applyAlignment="1" applyProtection="1">
      <alignment vertical="center" wrapText="1"/>
    </xf>
    <xf numFmtId="165" fontId="13" fillId="3" borderId="0" xfId="20" applyNumberFormat="1" applyFont="1" applyFill="1" applyBorder="1" applyAlignment="1" applyProtection="1">
      <alignment horizontal="right" vertical="center" wrapText="1" indent="1"/>
    </xf>
    <xf numFmtId="0" fontId="12" fillId="3" borderId="92" xfId="0" applyFont="1" applyFill="1" applyBorder="1" applyAlignment="1" applyProtection="1">
      <alignment horizontal="right"/>
    </xf>
    <xf numFmtId="0" fontId="10" fillId="3" borderId="2" xfId="20" applyFont="1" applyFill="1" applyBorder="1" applyAlignment="1" applyProtection="1">
      <alignment horizontal="center" vertical="center" wrapText="1"/>
    </xf>
    <xf numFmtId="0" fontId="13" fillId="3" borderId="2" xfId="20" applyFont="1" applyFill="1" applyBorder="1" applyAlignment="1" applyProtection="1">
      <alignment horizontal="center" vertical="center" wrapText="1"/>
    </xf>
    <xf numFmtId="0" fontId="10" fillId="3" borderId="2" xfId="20" applyFont="1" applyFill="1" applyBorder="1" applyAlignment="1" applyProtection="1">
      <alignment horizontal="left" vertical="center" wrapText="1" indent="1"/>
    </xf>
    <xf numFmtId="0" fontId="10" fillId="3" borderId="2" xfId="20" applyFont="1" applyFill="1" applyBorder="1" applyAlignment="1" applyProtection="1">
      <alignment vertical="center" wrapText="1"/>
    </xf>
    <xf numFmtId="165" fontId="13" fillId="3" borderId="2" xfId="20" applyNumberFormat="1" applyFont="1" applyFill="1" applyBorder="1" applyAlignment="1" applyProtection="1">
      <alignment horizontal="right" vertical="center" wrapText="1" indent="1"/>
    </xf>
    <xf numFmtId="0" fontId="14" fillId="3" borderId="136" xfId="20" applyFont="1" applyFill="1" applyBorder="1" applyAlignment="1" applyProtection="1">
      <alignment horizontal="left" vertical="center" wrapText="1" indent="1"/>
    </xf>
    <xf numFmtId="0" fontId="14" fillId="3" borderId="45" xfId="20" applyFont="1" applyFill="1" applyBorder="1" applyAlignment="1" applyProtection="1">
      <alignment horizontal="left" vertical="center" wrapText="1" indent="1"/>
    </xf>
    <xf numFmtId="0" fontId="16" fillId="3" borderId="45" xfId="20" applyFont="1" applyFill="1" applyBorder="1" applyAlignment="1" applyProtection="1">
      <alignment horizontal="left" vertical="center" wrapText="1" indent="1"/>
    </xf>
    <xf numFmtId="0" fontId="16" fillId="3" borderId="45" xfId="20" applyFont="1" applyFill="1" applyBorder="1" applyAlignment="1" applyProtection="1">
      <alignment horizontal="left" indent="6"/>
    </xf>
    <xf numFmtId="0" fontId="16" fillId="3" borderId="45" xfId="20" applyFont="1" applyFill="1" applyBorder="1" applyAlignment="1" applyProtection="1">
      <alignment horizontal="left" vertical="center" wrapText="1" indent="6"/>
    </xf>
    <xf numFmtId="0" fontId="14" fillId="3" borderId="48" xfId="20" applyFont="1" applyFill="1" applyBorder="1" applyAlignment="1" applyProtection="1">
      <alignment horizontal="left" vertical="center" wrapText="1" indent="6"/>
    </xf>
    <xf numFmtId="0" fontId="16" fillId="3" borderId="48" xfId="20" applyFont="1" applyFill="1" applyBorder="1" applyAlignment="1" applyProtection="1">
      <alignment horizontal="left" vertical="center" wrapText="1" indent="1"/>
    </xf>
    <xf numFmtId="165" fontId="17" fillId="3" borderId="89" xfId="20" applyNumberFormat="1" applyFont="1" applyFill="1" applyBorder="1" applyAlignment="1" applyProtection="1">
      <alignment horizontal="right" vertical="center" wrapText="1" indent="1"/>
      <protection locked="0"/>
    </xf>
    <xf numFmtId="0" fontId="14" fillId="3" borderId="48" xfId="20" applyFont="1" applyFill="1" applyBorder="1" applyAlignment="1" applyProtection="1">
      <alignment horizontal="left" vertical="center" wrapText="1" indent="1"/>
    </xf>
    <xf numFmtId="0" fontId="14" fillId="3" borderId="48" xfId="0" applyFont="1" applyFill="1" applyBorder="1" applyAlignment="1" applyProtection="1">
      <alignment horizontal="left" vertical="center" wrapText="1" indent="1"/>
    </xf>
    <xf numFmtId="0" fontId="16" fillId="3" borderId="45" xfId="0" applyFont="1" applyFill="1" applyBorder="1" applyAlignment="1" applyProtection="1">
      <alignment horizontal="left" vertical="center" wrapText="1" indent="1"/>
    </xf>
    <xf numFmtId="0" fontId="16" fillId="3" borderId="136" xfId="20" applyFont="1" applyFill="1" applyBorder="1" applyAlignment="1" applyProtection="1">
      <alignment horizontal="left" vertical="center" wrapText="1" indent="6"/>
    </xf>
    <xf numFmtId="49" fontId="14" fillId="3" borderId="140" xfId="20" applyNumberFormat="1" applyFont="1" applyFill="1" applyBorder="1" applyAlignment="1" applyProtection="1">
      <alignment horizontal="left" vertical="center" wrapText="1" indent="1"/>
    </xf>
    <xf numFmtId="165" fontId="17" fillId="3" borderId="141" xfId="20" applyNumberFormat="1" applyFont="1" applyFill="1" applyBorder="1" applyAlignment="1" applyProtection="1">
      <alignment horizontal="right" vertical="center" wrapText="1" indent="1"/>
      <protection locked="0"/>
    </xf>
    <xf numFmtId="0" fontId="14" fillId="3" borderId="136" xfId="20" applyFont="1" applyFill="1" applyBorder="1" applyAlignment="1" applyProtection="1">
      <alignment horizontal="left" vertical="center" wrapText="1"/>
    </xf>
    <xf numFmtId="0" fontId="14" fillId="3" borderId="90" xfId="20" applyFont="1" applyFill="1" applyBorder="1" applyAlignment="1" applyProtection="1">
      <alignment horizontal="left" vertical="center" wrapText="1"/>
    </xf>
    <xf numFmtId="0" fontId="14" fillId="3" borderId="90" xfId="20" applyFont="1" applyFill="1" applyBorder="1" applyAlignment="1" applyProtection="1">
      <alignment horizontal="left" vertical="center" wrapText="1" indent="1"/>
    </xf>
    <xf numFmtId="165" fontId="13" fillId="3" borderId="51" xfId="0" applyNumberFormat="1" applyFont="1" applyFill="1" applyBorder="1" applyAlignment="1" applyProtection="1">
      <alignment horizontal="right" vertical="center" wrapText="1" indent="1"/>
    </xf>
    <xf numFmtId="0" fontId="10" fillId="3" borderId="139" xfId="0" applyFont="1" applyFill="1" applyBorder="1" applyAlignment="1" applyProtection="1">
      <alignment horizontal="left" vertical="center" wrapText="1" indent="1"/>
    </xf>
    <xf numFmtId="0" fontId="10" fillId="3" borderId="93" xfId="0" applyFont="1" applyFill="1" applyBorder="1" applyAlignment="1" applyProtection="1">
      <alignment horizontal="left" vertical="center" wrapText="1" indent="1"/>
    </xf>
    <xf numFmtId="0" fontId="14" fillId="3" borderId="0" xfId="20" applyFont="1" applyFill="1" applyProtection="1"/>
    <xf numFmtId="0" fontId="15" fillId="3" borderId="0" xfId="20" applyFont="1" applyFill="1" applyAlignment="1" applyProtection="1">
      <alignment horizontal="right" vertical="center" indent="1"/>
    </xf>
    <xf numFmtId="0" fontId="10" fillId="3" borderId="50" xfId="20" applyFont="1" applyFill="1" applyBorder="1" applyAlignment="1" applyProtection="1">
      <alignment vertical="center" wrapText="1"/>
    </xf>
    <xf numFmtId="0" fontId="5" fillId="3" borderId="0" xfId="20" applyFont="1" applyFill="1" applyProtection="1"/>
    <xf numFmtId="3" fontId="64" fillId="4" borderId="0" xfId="10" applyNumberFormat="1" applyFont="1" applyFill="1" applyAlignment="1">
      <alignment wrapText="1"/>
    </xf>
    <xf numFmtId="3" fontId="65" fillId="4" borderId="0" xfId="10" applyNumberFormat="1" applyFont="1" applyFill="1" applyAlignment="1">
      <alignment wrapText="1"/>
    </xf>
    <xf numFmtId="3" fontId="64" fillId="4" borderId="0" xfId="10" applyNumberFormat="1" applyFont="1" applyFill="1" applyAlignment="1">
      <alignment horizontal="center" wrapText="1"/>
    </xf>
    <xf numFmtId="3" fontId="64" fillId="4" borderId="0" xfId="10" applyNumberFormat="1" applyFont="1" applyFill="1" applyAlignment="1">
      <alignment horizontal="right"/>
    </xf>
    <xf numFmtId="3" fontId="66" fillId="4" borderId="0" xfId="10" applyNumberFormat="1" applyFont="1" applyFill="1" applyAlignment="1">
      <alignment wrapText="1"/>
    </xf>
    <xf numFmtId="3" fontId="65" fillId="4" borderId="0" xfId="10" applyNumberFormat="1" applyFont="1" applyFill="1" applyAlignment="1">
      <alignment horizontal="center" wrapText="1"/>
    </xf>
    <xf numFmtId="3" fontId="65" fillId="4" borderId="0" xfId="10" applyNumberFormat="1" applyFont="1" applyFill="1" applyAlignment="1">
      <alignment horizontal="right"/>
    </xf>
    <xf numFmtId="3" fontId="65" fillId="3" borderId="0" xfId="10" applyNumberFormat="1" applyFont="1" applyFill="1" applyAlignment="1">
      <alignment wrapText="1"/>
    </xf>
    <xf numFmtId="3" fontId="67" fillId="3" borderId="0" xfId="0" applyNumberFormat="1" applyFont="1" applyFill="1"/>
    <xf numFmtId="0" fontId="67" fillId="3" borderId="0" xfId="0" applyFont="1" applyFill="1"/>
    <xf numFmtId="0" fontId="68" fillId="3" borderId="0" xfId="0" applyFont="1" applyFill="1"/>
    <xf numFmtId="3" fontId="64" fillId="3" borderId="0" xfId="10" applyNumberFormat="1" applyFont="1" applyFill="1" applyAlignment="1">
      <alignment wrapText="1"/>
    </xf>
    <xf numFmtId="3" fontId="69" fillId="3" borderId="0" xfId="0" applyNumberFormat="1" applyFont="1" applyFill="1"/>
    <xf numFmtId="0" fontId="69" fillId="3" borderId="0" xfId="0" applyFont="1" applyFill="1"/>
    <xf numFmtId="0" fontId="70" fillId="3" borderId="0" xfId="0" applyFont="1" applyFill="1"/>
    <xf numFmtId="3" fontId="70" fillId="3" borderId="0" xfId="0" applyNumberFormat="1" applyFont="1" applyFill="1"/>
    <xf numFmtId="3" fontId="68" fillId="3" borderId="0" xfId="0" applyNumberFormat="1" applyFont="1" applyFill="1"/>
    <xf numFmtId="3" fontId="71" fillId="3" borderId="0" xfId="0" applyNumberFormat="1" applyFont="1" applyFill="1"/>
    <xf numFmtId="3" fontId="72" fillId="3" borderId="3" xfId="0" applyNumberFormat="1" applyFont="1" applyFill="1" applyBorder="1" applyAlignment="1">
      <alignment horizontal="right"/>
    </xf>
    <xf numFmtId="3" fontId="13" fillId="4" borderId="21" xfId="10" applyNumberFormat="1" applyFont="1" applyFill="1" applyBorder="1" applyAlignment="1">
      <alignment horizontal="center" vertical="top"/>
    </xf>
    <xf numFmtId="3" fontId="6" fillId="4" borderId="99" xfId="10" applyNumberFormat="1" applyFont="1" applyFill="1" applyBorder="1" applyAlignment="1">
      <alignment wrapText="1"/>
    </xf>
    <xf numFmtId="3" fontId="6" fillId="4" borderId="27" xfId="10" applyNumberFormat="1" applyFont="1" applyFill="1" applyBorder="1" applyAlignment="1">
      <alignment horizontal="right"/>
    </xf>
    <xf numFmtId="3" fontId="21" fillId="0" borderId="142" xfId="10" applyNumberFormat="1" applyFont="1" applyFill="1" applyBorder="1" applyAlignment="1">
      <alignment horizontal="right" vertical="center"/>
    </xf>
    <xf numFmtId="3" fontId="37" fillId="0" borderId="100" xfId="21" applyNumberFormat="1" applyFont="1" applyFill="1" applyBorder="1" applyAlignment="1">
      <alignment horizontal="center" vertical="center"/>
    </xf>
    <xf numFmtId="3" fontId="37" fillId="0" borderId="143" xfId="0" applyNumberFormat="1" applyFont="1" applyBorder="1" applyAlignment="1">
      <alignment vertical="top"/>
    </xf>
    <xf numFmtId="0" fontId="43" fillId="0" borderId="0" xfId="0" applyFont="1" applyFill="1" applyBorder="1" applyAlignment="1" applyProtection="1">
      <alignment horizontal="right"/>
    </xf>
    <xf numFmtId="0" fontId="30" fillId="0" borderId="0" xfId="0" applyFont="1"/>
    <xf numFmtId="0" fontId="51" fillId="0" borderId="0" xfId="0" applyFont="1"/>
    <xf numFmtId="0" fontId="51" fillId="0" borderId="0" xfId="0" applyFont="1" applyAlignment="1">
      <alignment horizontal="center" vertical="center"/>
    </xf>
    <xf numFmtId="0" fontId="51" fillId="0" borderId="147" xfId="0" applyFont="1" applyBorder="1"/>
    <xf numFmtId="0" fontId="51" fillId="0" borderId="149" xfId="0" applyFont="1" applyBorder="1" applyAlignment="1">
      <alignment horizontal="center" vertical="center"/>
    </xf>
    <xf numFmtId="0" fontId="51" fillId="0" borderId="150" xfId="0" applyFont="1" applyBorder="1" applyAlignment="1">
      <alignment horizontal="center" vertical="center"/>
    </xf>
    <xf numFmtId="0" fontId="51" fillId="0" borderId="151" xfId="0" applyFont="1" applyBorder="1" applyAlignment="1">
      <alignment horizontal="center" vertical="center"/>
    </xf>
    <xf numFmtId="0" fontId="51" fillId="0" borderId="149" xfId="0" applyFont="1" applyBorder="1" applyAlignment="1">
      <alignment horizontal="left"/>
    </xf>
    <xf numFmtId="0" fontId="51" fillId="0" borderId="149" xfId="0" applyFont="1" applyBorder="1"/>
    <xf numFmtId="3" fontId="51" fillId="3" borderId="152" xfId="10" applyNumberFormat="1" applyFont="1" applyFill="1" applyBorder="1" applyAlignment="1">
      <alignment horizontal="left" vertical="center" wrapText="1"/>
    </xf>
    <xf numFmtId="3" fontId="51" fillId="3" borderId="154" xfId="5" applyNumberFormat="1" applyFont="1" applyFill="1" applyBorder="1" applyAlignment="1">
      <alignment horizontal="left" vertical="center" wrapText="1"/>
    </xf>
    <xf numFmtId="3" fontId="51" fillId="3" borderId="154" xfId="10" applyNumberFormat="1" applyFont="1" applyFill="1" applyBorder="1" applyAlignment="1">
      <alignment horizontal="left" vertical="center" wrapText="1" shrinkToFit="1"/>
    </xf>
    <xf numFmtId="3" fontId="73" fillId="3" borderId="154" xfId="5" applyNumberFormat="1" applyFont="1" applyFill="1" applyBorder="1" applyAlignment="1">
      <alignment horizontal="left" vertical="center" wrapText="1"/>
    </xf>
    <xf numFmtId="3" fontId="51" fillId="3" borderId="156" xfId="5" applyNumberFormat="1" applyFont="1" applyFill="1" applyBorder="1" applyAlignment="1">
      <alignment horizontal="left" vertical="center" wrapText="1"/>
    </xf>
    <xf numFmtId="0" fontId="51" fillId="0" borderId="157" xfId="0" applyFont="1" applyBorder="1"/>
    <xf numFmtId="0" fontId="51" fillId="0" borderId="154" xfId="0" applyFont="1" applyBorder="1"/>
    <xf numFmtId="0" fontId="51" fillId="0" borderId="156" xfId="0" applyFont="1" applyBorder="1"/>
    <xf numFmtId="0" fontId="15" fillId="0" borderId="0" xfId="18" applyFont="1"/>
    <xf numFmtId="0" fontId="7" fillId="2" borderId="0" xfId="20" applyFont="1" applyFill="1" applyProtection="1"/>
    <xf numFmtId="0" fontId="37" fillId="0" borderId="0" xfId="20" applyFont="1" applyFill="1"/>
    <xf numFmtId="0" fontId="13" fillId="0" borderId="158" xfId="20" applyFont="1" applyFill="1" applyBorder="1" applyAlignment="1">
      <alignment horizontal="center" vertical="center" wrapText="1"/>
    </xf>
    <xf numFmtId="0" fontId="20" fillId="0" borderId="159" xfId="20" applyFont="1" applyFill="1" applyBorder="1" applyAlignment="1">
      <alignment horizontal="center" vertical="center"/>
    </xf>
    <xf numFmtId="0" fontId="20" fillId="0" borderId="18" xfId="20" applyFont="1" applyFill="1" applyBorder="1" applyAlignment="1">
      <alignment horizontal="center" vertical="center"/>
    </xf>
    <xf numFmtId="0" fontId="20" fillId="0" borderId="160" xfId="20" applyFont="1" applyFill="1" applyBorder="1" applyAlignment="1">
      <alignment horizontal="center" vertical="center"/>
    </xf>
    <xf numFmtId="0" fontId="52" fillId="0" borderId="161" xfId="20" applyFont="1" applyFill="1" applyBorder="1" applyAlignment="1">
      <alignment horizontal="center" vertical="center"/>
    </xf>
    <xf numFmtId="0" fontId="53" fillId="0" borderId="12" xfId="20" applyFont="1" applyFill="1" applyBorder="1" applyProtection="1">
      <protection locked="0"/>
    </xf>
    <xf numFmtId="169" fontId="52" fillId="0" borderId="12" xfId="1" applyNumberFormat="1" applyFont="1" applyFill="1" applyBorder="1" applyAlignment="1" applyProtection="1">
      <protection locked="0"/>
    </xf>
    <xf numFmtId="169" fontId="52" fillId="0" borderId="162" xfId="1" applyNumberFormat="1" applyFont="1" applyFill="1" applyBorder="1" applyAlignment="1" applyProtection="1"/>
    <xf numFmtId="0" fontId="53" fillId="0" borderId="3" xfId="20" applyFont="1" applyFill="1" applyBorder="1" applyProtection="1">
      <protection locked="0"/>
    </xf>
    <xf numFmtId="169" fontId="52" fillId="0" borderId="3" xfId="1" applyNumberFormat="1" applyFont="1" applyFill="1" applyBorder="1" applyAlignment="1" applyProtection="1">
      <protection locked="0"/>
    </xf>
    <xf numFmtId="169" fontId="52" fillId="0" borderId="163" xfId="1" applyNumberFormat="1" applyFont="1" applyFill="1" applyBorder="1" applyAlignment="1" applyProtection="1"/>
    <xf numFmtId="0" fontId="53" fillId="0" borderId="99" xfId="20" applyFont="1" applyFill="1" applyBorder="1" applyProtection="1">
      <protection locked="0"/>
    </xf>
    <xf numFmtId="169" fontId="52" fillId="0" borderId="99" xfId="1" applyNumberFormat="1" applyFont="1" applyFill="1" applyBorder="1" applyAlignment="1" applyProtection="1">
      <protection locked="0"/>
    </xf>
    <xf numFmtId="169" fontId="52" fillId="0" borderId="164" xfId="1" applyNumberFormat="1" applyFont="1" applyFill="1" applyBorder="1" applyAlignment="1" applyProtection="1"/>
    <xf numFmtId="0" fontId="52" fillId="0" borderId="165" xfId="20" applyFont="1" applyFill="1" applyBorder="1" applyAlignment="1">
      <alignment horizontal="center" vertical="center"/>
    </xf>
    <xf numFmtId="0" fontId="53" fillId="0" borderId="166" xfId="20" applyFont="1" applyFill="1" applyBorder="1" applyProtection="1">
      <protection locked="0"/>
    </xf>
    <xf numFmtId="169" fontId="52" fillId="0" borderId="166" xfId="1" applyNumberFormat="1" applyFont="1" applyFill="1" applyBorder="1" applyAlignment="1" applyProtection="1">
      <protection locked="0"/>
    </xf>
    <xf numFmtId="169" fontId="52" fillId="0" borderId="167" xfId="1" applyNumberFormat="1" applyFont="1" applyFill="1" applyBorder="1" applyAlignment="1" applyProtection="1"/>
    <xf numFmtId="0" fontId="52" fillId="0" borderId="168" xfId="20" applyFont="1" applyFill="1" applyBorder="1" applyAlignment="1">
      <alignment horizontal="center" vertical="center"/>
    </xf>
    <xf numFmtId="0" fontId="53" fillId="0" borderId="21" xfId="20" applyFont="1" applyFill="1" applyBorder="1" applyProtection="1">
      <protection locked="0"/>
    </xf>
    <xf numFmtId="169" fontId="52" fillId="0" borderId="21" xfId="1" applyNumberFormat="1" applyFont="1" applyFill="1" applyBorder="1" applyAlignment="1" applyProtection="1">
      <protection locked="0"/>
    </xf>
    <xf numFmtId="169" fontId="52" fillId="0" borderId="169" xfId="1" applyNumberFormat="1" applyFont="1" applyFill="1" applyBorder="1" applyAlignment="1" applyProtection="1">
      <protection locked="0"/>
    </xf>
    <xf numFmtId="169" fontId="52" fillId="0" borderId="167" xfId="1" applyNumberFormat="1" applyFont="1" applyFill="1" applyBorder="1" applyAlignment="1" applyProtection="1">
      <protection locked="0"/>
    </xf>
    <xf numFmtId="0" fontId="52" fillId="0" borderId="170" xfId="20" applyFont="1" applyFill="1" applyBorder="1" applyAlignment="1">
      <alignment horizontal="center" vertical="center"/>
    </xf>
    <xf numFmtId="0" fontId="53" fillId="0" borderId="171" xfId="20" applyFont="1" applyFill="1" applyBorder="1" applyProtection="1">
      <protection locked="0"/>
    </xf>
    <xf numFmtId="169" fontId="52" fillId="0" borderId="171" xfId="1" applyNumberFormat="1" applyFont="1" applyFill="1" applyBorder="1" applyAlignment="1" applyProtection="1">
      <protection locked="0"/>
    </xf>
    <xf numFmtId="169" fontId="52" fillId="0" borderId="172" xfId="1" applyNumberFormat="1" applyFont="1" applyFill="1" applyBorder="1" applyAlignment="1" applyProtection="1">
      <protection locked="0"/>
    </xf>
    <xf numFmtId="0" fontId="52" fillId="0" borderId="173" xfId="20" applyFont="1" applyFill="1" applyBorder="1" applyAlignment="1">
      <alignment horizontal="center" vertical="center"/>
    </xf>
    <xf numFmtId="169" fontId="52" fillId="0" borderId="174" xfId="1" applyNumberFormat="1" applyFont="1" applyFill="1" applyBorder="1" applyAlignment="1" applyProtection="1">
      <protection locked="0"/>
    </xf>
    <xf numFmtId="169" fontId="52" fillId="0" borderId="175" xfId="1" applyNumberFormat="1" applyFont="1" applyFill="1" applyBorder="1" applyAlignment="1" applyProtection="1">
      <protection locked="0"/>
    </xf>
    <xf numFmtId="0" fontId="52" fillId="0" borderId="176" xfId="20" applyFont="1" applyFill="1" applyBorder="1" applyAlignment="1">
      <alignment horizontal="center" vertical="center"/>
    </xf>
    <xf numFmtId="169" fontId="52" fillId="0" borderId="177" xfId="1" applyNumberFormat="1" applyFont="1" applyFill="1" applyBorder="1" applyAlignment="1" applyProtection="1">
      <protection locked="0"/>
    </xf>
    <xf numFmtId="169" fontId="52" fillId="0" borderId="178" xfId="1" applyNumberFormat="1" applyFont="1" applyFill="1" applyBorder="1" applyAlignment="1" applyProtection="1">
      <protection locked="0"/>
    </xf>
    <xf numFmtId="0" fontId="52" fillId="0" borderId="179" xfId="20" applyFont="1" applyFill="1" applyBorder="1" applyAlignment="1">
      <alignment horizontal="center" vertical="center"/>
    </xf>
    <xf numFmtId="0" fontId="53" fillId="0" borderId="180" xfId="20" applyFont="1" applyFill="1" applyBorder="1" applyProtection="1">
      <protection locked="0"/>
    </xf>
    <xf numFmtId="169" fontId="52" fillId="0" borderId="180" xfId="1" applyNumberFormat="1" applyFont="1" applyFill="1" applyBorder="1" applyAlignment="1" applyProtection="1">
      <protection locked="0"/>
    </xf>
    <xf numFmtId="169" fontId="52" fillId="0" borderId="181" xfId="1" applyNumberFormat="1" applyFont="1" applyFill="1" applyBorder="1" applyAlignment="1" applyProtection="1">
      <protection locked="0"/>
    </xf>
    <xf numFmtId="0" fontId="52" fillId="0" borderId="182" xfId="20" applyFont="1" applyFill="1" applyBorder="1" applyAlignment="1">
      <alignment horizontal="center" vertical="center"/>
    </xf>
    <xf numFmtId="0" fontId="53" fillId="0" borderId="183" xfId="20" applyFont="1" applyFill="1" applyBorder="1" applyProtection="1">
      <protection locked="0"/>
    </xf>
    <xf numFmtId="169" fontId="52" fillId="0" borderId="183" xfId="1" applyNumberFormat="1" applyFont="1" applyFill="1" applyBorder="1" applyAlignment="1" applyProtection="1">
      <protection locked="0"/>
    </xf>
    <xf numFmtId="169" fontId="52" fillId="0" borderId="184" xfId="1" applyNumberFormat="1" applyFont="1" applyFill="1" applyBorder="1" applyAlignment="1" applyProtection="1">
      <protection locked="0"/>
    </xf>
    <xf numFmtId="0" fontId="52" fillId="0" borderId="185" xfId="20" applyFont="1" applyFill="1" applyBorder="1" applyAlignment="1">
      <alignment horizontal="center" vertical="center"/>
    </xf>
    <xf numFmtId="0" fontId="53" fillId="0" borderId="186" xfId="20" applyFont="1" applyFill="1" applyBorder="1" applyProtection="1">
      <protection locked="0"/>
    </xf>
    <xf numFmtId="169" fontId="52" fillId="0" borderId="186" xfId="1" applyNumberFormat="1" applyFont="1" applyFill="1" applyBorder="1" applyAlignment="1" applyProtection="1">
      <protection locked="0"/>
    </xf>
    <xf numFmtId="169" fontId="52" fillId="0" borderId="187" xfId="1" applyNumberFormat="1" applyFont="1" applyFill="1" applyBorder="1" applyAlignment="1" applyProtection="1">
      <protection locked="0"/>
    </xf>
    <xf numFmtId="0" fontId="52" fillId="0" borderId="188" xfId="20" applyFont="1" applyFill="1" applyBorder="1" applyAlignment="1">
      <alignment horizontal="center" vertical="center"/>
    </xf>
    <xf numFmtId="0" fontId="54" fillId="0" borderId="189" xfId="20" applyFont="1" applyFill="1" applyBorder="1" applyProtection="1">
      <protection locked="0"/>
    </xf>
    <xf numFmtId="169" fontId="52" fillId="0" borderId="189" xfId="1" applyNumberFormat="1" applyFont="1" applyFill="1" applyBorder="1" applyAlignment="1" applyProtection="1">
      <protection locked="0"/>
    </xf>
    <xf numFmtId="169" fontId="52" fillId="0" borderId="190" xfId="1" applyNumberFormat="1" applyFont="1" applyFill="1" applyBorder="1" applyAlignment="1" applyProtection="1">
      <protection locked="0"/>
    </xf>
    <xf numFmtId="0" fontId="13" fillId="0" borderId="191" xfId="20" applyFont="1" applyFill="1" applyBorder="1" applyAlignment="1">
      <alignment horizontal="center" vertical="center"/>
    </xf>
    <xf numFmtId="0" fontId="25" fillId="0" borderId="166" xfId="20" applyFont="1" applyFill="1" applyBorder="1" applyProtection="1">
      <protection locked="0"/>
    </xf>
    <xf numFmtId="169" fontId="13" fillId="0" borderId="192" xfId="20" applyNumberFormat="1" applyFont="1" applyFill="1" applyBorder="1"/>
    <xf numFmtId="169" fontId="13" fillId="0" borderId="193" xfId="20" applyNumberFormat="1" applyFont="1" applyFill="1" applyBorder="1"/>
    <xf numFmtId="0" fontId="0" fillId="0" borderId="118" xfId="0" applyBorder="1"/>
    <xf numFmtId="0" fontId="0" fillId="0" borderId="29" xfId="0" applyBorder="1"/>
    <xf numFmtId="169" fontId="10" fillId="0" borderId="194" xfId="1" applyNumberFormat="1" applyFont="1" applyFill="1" applyBorder="1" applyAlignment="1" applyProtection="1"/>
    <xf numFmtId="0" fontId="0" fillId="0" borderId="112" xfId="0" applyBorder="1"/>
    <xf numFmtId="0" fontId="0" fillId="0" borderId="195" xfId="0" applyBorder="1"/>
    <xf numFmtId="0" fontId="0" fillId="0" borderId="196" xfId="0" applyBorder="1"/>
    <xf numFmtId="3" fontId="14" fillId="3" borderId="45" xfId="0" applyNumberFormat="1" applyFont="1" applyFill="1" applyBorder="1" applyAlignment="1" applyProtection="1">
      <alignment vertical="center"/>
      <protection locked="0"/>
    </xf>
    <xf numFmtId="3" fontId="7" fillId="4" borderId="3" xfId="10" applyNumberFormat="1" applyFont="1" applyFill="1" applyBorder="1" applyAlignment="1">
      <alignment horizontal="center"/>
    </xf>
    <xf numFmtId="3" fontId="47" fillId="4" borderId="21" xfId="10" applyNumberFormat="1" applyFont="1" applyFill="1" applyBorder="1" applyAlignment="1">
      <alignment horizontal="center" vertical="center" wrapText="1"/>
    </xf>
    <xf numFmtId="3" fontId="74" fillId="4" borderId="99" xfId="10" applyNumberFormat="1" applyFont="1" applyFill="1" applyBorder="1" applyAlignment="1">
      <alignment horizontal="left" wrapText="1"/>
    </xf>
    <xf numFmtId="3" fontId="6" fillId="4" borderId="197" xfId="10" applyNumberFormat="1" applyFont="1" applyFill="1" applyBorder="1"/>
    <xf numFmtId="3" fontId="6" fillId="4" borderId="99" xfId="10" applyNumberFormat="1" applyFont="1" applyFill="1" applyBorder="1" applyAlignment="1">
      <alignment horizontal="center" vertical="top"/>
    </xf>
    <xf numFmtId="3" fontId="47" fillId="4" borderId="99" xfId="10" applyNumberFormat="1" applyFont="1" applyFill="1" applyBorder="1" applyAlignment="1">
      <alignment horizontal="center" vertical="center" wrapText="1"/>
    </xf>
    <xf numFmtId="3" fontId="7" fillId="4" borderId="99" xfId="10" applyNumberFormat="1" applyFont="1" applyFill="1" applyBorder="1" applyAlignment="1">
      <alignment horizontal="center" wrapText="1"/>
    </xf>
    <xf numFmtId="3" fontId="7" fillId="4" borderId="99" xfId="10" applyNumberFormat="1" applyFont="1" applyFill="1" applyBorder="1" applyAlignment="1">
      <alignment horizontal="right"/>
    </xf>
    <xf numFmtId="3" fontId="7" fillId="4" borderId="111" xfId="10" applyNumberFormat="1" applyFont="1" applyFill="1" applyBorder="1" applyAlignment="1">
      <alignment horizontal="right"/>
    </xf>
    <xf numFmtId="3" fontId="6" fillId="4" borderId="126" xfId="10" applyNumberFormat="1" applyFont="1" applyFill="1" applyBorder="1" applyAlignment="1">
      <alignment horizontal="right"/>
    </xf>
    <xf numFmtId="3" fontId="6" fillId="4" borderId="99" xfId="10" applyNumberFormat="1" applyFont="1" applyFill="1" applyBorder="1" applyAlignment="1">
      <alignment horizontal="right"/>
    </xf>
    <xf numFmtId="3" fontId="6" fillId="4" borderId="111" xfId="10" applyNumberFormat="1" applyFont="1" applyFill="1" applyBorder="1" applyAlignment="1">
      <alignment horizontal="right"/>
    </xf>
    <xf numFmtId="3" fontId="6" fillId="4" borderId="198" xfId="10" applyNumberFormat="1" applyFont="1" applyFill="1" applyBorder="1" applyAlignment="1">
      <alignment horizontal="right"/>
    </xf>
    <xf numFmtId="3" fontId="6" fillId="4" borderId="131" xfId="10" applyNumberFormat="1" applyFont="1" applyFill="1" applyBorder="1" applyAlignment="1">
      <alignment horizontal="right"/>
    </xf>
    <xf numFmtId="3" fontId="6" fillId="4" borderId="5" xfId="19" applyNumberFormat="1" applyFont="1" applyFill="1" applyBorder="1" applyAlignment="1">
      <alignment horizontal="left" wrapText="1"/>
    </xf>
    <xf numFmtId="3" fontId="72" fillId="4" borderId="0" xfId="10" applyNumberFormat="1" applyFont="1" applyFill="1" applyAlignment="1">
      <alignment horizontal="right"/>
    </xf>
    <xf numFmtId="3" fontId="45" fillId="4" borderId="0" xfId="0" applyNumberFormat="1" applyFont="1" applyFill="1" applyAlignment="1">
      <alignment wrapText="1"/>
    </xf>
    <xf numFmtId="3" fontId="6" fillId="4" borderId="199" xfId="10" applyNumberFormat="1" applyFont="1" applyFill="1" applyBorder="1" applyAlignment="1">
      <alignment horizontal="center" vertical="center" wrapText="1"/>
    </xf>
    <xf numFmtId="3" fontId="7" fillId="4" borderId="199" xfId="19" applyNumberFormat="1" applyFont="1" applyFill="1" applyBorder="1" applyAlignment="1">
      <alignment horizontal="center" wrapText="1"/>
    </xf>
    <xf numFmtId="3" fontId="7" fillId="4" borderId="199" xfId="10" applyNumberFormat="1" applyFont="1" applyFill="1" applyBorder="1" applyAlignment="1">
      <alignment horizontal="right"/>
    </xf>
    <xf numFmtId="3" fontId="7" fillId="4" borderId="200" xfId="10" applyNumberFormat="1" applyFont="1" applyFill="1" applyBorder="1" applyAlignment="1">
      <alignment horizontal="right"/>
    </xf>
    <xf numFmtId="3" fontId="6" fillId="4" borderId="90" xfId="10" applyNumberFormat="1" applyFont="1" applyFill="1" applyBorder="1" applyAlignment="1">
      <alignment horizontal="right"/>
    </xf>
    <xf numFmtId="3" fontId="6" fillId="4" borderId="124" xfId="10" applyNumberFormat="1" applyFont="1" applyFill="1" applyBorder="1" applyAlignment="1">
      <alignment horizontal="right"/>
    </xf>
    <xf numFmtId="3" fontId="6" fillId="4" borderId="199" xfId="10" applyNumberFormat="1" applyFont="1" applyFill="1" applyBorder="1" applyAlignment="1">
      <alignment horizontal="right"/>
    </xf>
    <xf numFmtId="3" fontId="6" fillId="4" borderId="5" xfId="10" applyNumberFormat="1" applyFont="1" applyFill="1" applyBorder="1" applyAlignment="1">
      <alignment horizontal="center" vertical="center" wrapText="1"/>
    </xf>
    <xf numFmtId="3" fontId="7" fillId="4" borderId="5" xfId="19" applyNumberFormat="1" applyFont="1" applyFill="1" applyBorder="1" applyAlignment="1">
      <alignment horizontal="center" wrapText="1"/>
    </xf>
    <xf numFmtId="3" fontId="7" fillId="4" borderId="5" xfId="10" applyNumberFormat="1" applyFont="1" applyFill="1" applyBorder="1" applyAlignment="1">
      <alignment horizontal="right"/>
    </xf>
    <xf numFmtId="3" fontId="7" fillId="4" borderId="54" xfId="10" applyNumberFormat="1" applyFont="1" applyFill="1" applyBorder="1" applyAlignment="1">
      <alignment horizontal="right"/>
    </xf>
    <xf numFmtId="3" fontId="6" fillId="4" borderId="201" xfId="10" applyNumberFormat="1" applyFont="1" applyFill="1" applyBorder="1" applyAlignment="1">
      <alignment horizontal="right"/>
    </xf>
    <xf numFmtId="3" fontId="6" fillId="4" borderId="8" xfId="10" applyNumberFormat="1" applyFont="1" applyFill="1" applyBorder="1" applyAlignment="1">
      <alignment horizontal="right"/>
    </xf>
    <xf numFmtId="3" fontId="6" fillId="4" borderId="5" xfId="10" applyNumberFormat="1" applyFont="1" applyFill="1" applyBorder="1" applyAlignment="1">
      <alignment horizontal="right"/>
    </xf>
    <xf numFmtId="3" fontId="7" fillId="4" borderId="102" xfId="10" applyNumberFormat="1" applyFont="1" applyFill="1" applyBorder="1" applyAlignment="1">
      <alignment horizontal="right"/>
    </xf>
    <xf numFmtId="3" fontId="6" fillId="4" borderId="124" xfId="10" applyNumberFormat="1" applyFont="1" applyFill="1" applyBorder="1"/>
    <xf numFmtId="3" fontId="6" fillId="4" borderId="199" xfId="10" applyNumberFormat="1" applyFont="1" applyFill="1" applyBorder="1" applyAlignment="1">
      <alignment horizontal="center" vertical="center"/>
    </xf>
    <xf numFmtId="3" fontId="6" fillId="4" borderId="8" xfId="10" applyNumberFormat="1" applyFont="1" applyFill="1" applyBorder="1"/>
    <xf numFmtId="3" fontId="6" fillId="4" borderId="5" xfId="10" applyNumberFormat="1" applyFont="1" applyFill="1" applyBorder="1" applyAlignment="1">
      <alignment horizontal="center" vertical="center"/>
    </xf>
    <xf numFmtId="3" fontId="0" fillId="0" borderId="0" xfId="0" applyNumberFormat="1"/>
    <xf numFmtId="0" fontId="45" fillId="3" borderId="0" xfId="0" applyFont="1" applyFill="1"/>
    <xf numFmtId="3" fontId="45" fillId="3" borderId="0" xfId="0" applyNumberFormat="1" applyFont="1" applyFill="1"/>
    <xf numFmtId="3" fontId="0" fillId="3" borderId="0" xfId="0" applyNumberFormat="1" applyFill="1"/>
    <xf numFmtId="3" fontId="21" fillId="3" borderId="54" xfId="10" applyNumberFormat="1" applyFont="1" applyFill="1" applyBorder="1" applyAlignment="1">
      <alignment horizontal="right" vertical="center"/>
    </xf>
    <xf numFmtId="3" fontId="64" fillId="0" borderId="0" xfId="10" applyNumberFormat="1" applyFont="1" applyFill="1" applyAlignment="1">
      <alignment horizontal="right"/>
    </xf>
    <xf numFmtId="3" fontId="51" fillId="0" borderId="146" xfId="0" applyNumberFormat="1" applyFont="1" applyBorder="1"/>
    <xf numFmtId="3" fontId="51" fillId="0" borderId="153" xfId="0" applyNumberFormat="1" applyFont="1" applyBorder="1"/>
    <xf numFmtId="3" fontId="51" fillId="0" borderId="150" xfId="0" applyNumberFormat="1" applyFont="1" applyBorder="1"/>
    <xf numFmtId="3" fontId="51" fillId="0" borderId="144" xfId="0" applyNumberFormat="1" applyFont="1" applyBorder="1"/>
    <xf numFmtId="3" fontId="51" fillId="0" borderId="145" xfId="0" applyNumberFormat="1" applyFont="1" applyBorder="1"/>
    <xf numFmtId="3" fontId="51" fillId="0" borderId="0" xfId="0" applyNumberFormat="1" applyFont="1" applyBorder="1"/>
    <xf numFmtId="3" fontId="51" fillId="0" borderId="148" xfId="0" applyNumberFormat="1" applyFont="1" applyBorder="1"/>
    <xf numFmtId="3" fontId="51" fillId="0" borderId="206" xfId="0" applyNumberFormat="1" applyFont="1" applyBorder="1"/>
    <xf numFmtId="3" fontId="51" fillId="0" borderId="155" xfId="0" applyNumberFormat="1" applyFont="1" applyBorder="1"/>
    <xf numFmtId="3" fontId="51" fillId="0" borderId="151" xfId="0" applyNumberFormat="1" applyFont="1" applyBorder="1"/>
    <xf numFmtId="3" fontId="21" fillId="3" borderId="131" xfId="0" applyNumberFormat="1" applyFont="1" applyFill="1" applyBorder="1" applyAlignment="1">
      <alignment horizontal="right"/>
    </xf>
    <xf numFmtId="3" fontId="21" fillId="3" borderId="130" xfId="0" applyNumberFormat="1" applyFont="1" applyFill="1" applyBorder="1" applyAlignment="1">
      <alignment horizontal="right"/>
    </xf>
    <xf numFmtId="0" fontId="15" fillId="0" borderId="0" xfId="22" applyFont="1" applyAlignment="1">
      <alignment horizontal="center" vertical="center"/>
    </xf>
    <xf numFmtId="3" fontId="15" fillId="0" borderId="0" xfId="22" applyNumberFormat="1" applyFont="1"/>
    <xf numFmtId="3" fontId="13" fillId="0" borderId="0" xfId="22" applyNumberFormat="1" applyFont="1"/>
    <xf numFmtId="0" fontId="15" fillId="0" borderId="0" xfId="22" applyFont="1"/>
    <xf numFmtId="0" fontId="14" fillId="0" borderId="0" xfId="22" applyFont="1"/>
    <xf numFmtId="0" fontId="14" fillId="0" borderId="0" xfId="22" applyFont="1" applyAlignment="1">
      <alignment horizontal="center"/>
    </xf>
    <xf numFmtId="0" fontId="14" fillId="0" borderId="0" xfId="22" applyFont="1" applyAlignment="1">
      <alignment horizontal="center" vertical="top"/>
    </xf>
    <xf numFmtId="0" fontId="14" fillId="0" borderId="0" xfId="22" applyFont="1" applyAlignment="1">
      <alignment wrapText="1"/>
    </xf>
    <xf numFmtId="0" fontId="14" fillId="0" borderId="0" xfId="22" applyFont="1" applyAlignment="1">
      <alignment horizontal="center" vertical="center" wrapText="1"/>
    </xf>
    <xf numFmtId="3" fontId="14" fillId="0" borderId="0" xfId="22" applyNumberFormat="1" applyFont="1"/>
    <xf numFmtId="3" fontId="10" fillId="0" borderId="0" xfId="22" applyNumberFormat="1" applyFont="1" applyAlignment="1">
      <alignment horizontal="right"/>
    </xf>
    <xf numFmtId="0" fontId="14" fillId="0" borderId="0" xfId="22" applyFont="1" applyAlignment="1">
      <alignment horizontal="center" wrapText="1"/>
    </xf>
    <xf numFmtId="3" fontId="14" fillId="0" borderId="0" xfId="22" applyNumberFormat="1" applyFont="1" applyAlignment="1">
      <alignment horizontal="center"/>
    </xf>
    <xf numFmtId="3" fontId="14" fillId="0" borderId="17" xfId="11" applyNumberFormat="1" applyFont="1" applyBorder="1" applyAlignment="1">
      <alignment horizontal="center" vertical="center" textRotation="90"/>
    </xf>
    <xf numFmtId="3" fontId="14" fillId="0" borderId="18" xfId="11" applyNumberFormat="1" applyFont="1" applyBorder="1" applyAlignment="1">
      <alignment horizontal="center" vertical="center" textRotation="90"/>
    </xf>
    <xf numFmtId="0" fontId="10" fillId="0" borderId="18" xfId="22" applyFont="1" applyBorder="1" applyAlignment="1">
      <alignment horizontal="center" vertical="center" wrapText="1"/>
    </xf>
    <xf numFmtId="0" fontId="14" fillId="0" borderId="18" xfId="21" applyFont="1" applyBorder="1" applyAlignment="1">
      <alignment horizontal="center" vertical="center" textRotation="90" wrapText="1"/>
    </xf>
    <xf numFmtId="0" fontId="34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3" fontId="14" fillId="0" borderId="20" xfId="11" applyNumberFormat="1" applyFont="1" applyBorder="1" applyAlignment="1">
      <alignment horizontal="center"/>
    </xf>
    <xf numFmtId="3" fontId="14" fillId="0" borderId="21" xfId="11" applyNumberFormat="1" applyFont="1" applyBorder="1" applyAlignment="1">
      <alignment horizontal="center" vertical="center" textRotation="90"/>
    </xf>
    <xf numFmtId="0" fontId="35" fillId="0" borderId="22" xfId="22" applyFont="1" applyBorder="1" applyAlignment="1">
      <alignment horizontal="left" vertical="center" wrapText="1"/>
    </xf>
    <xf numFmtId="0" fontId="14" fillId="0" borderId="21" xfId="21" applyFont="1" applyBorder="1" applyAlignment="1">
      <alignment horizontal="center" vertical="center" textRotation="90" wrapText="1"/>
    </xf>
    <xf numFmtId="3" fontId="10" fillId="0" borderId="21" xfId="22" applyNumberFormat="1" applyFont="1" applyBorder="1" applyAlignment="1">
      <alignment horizontal="right" vertical="center" wrapText="1"/>
    </xf>
    <xf numFmtId="3" fontId="10" fillId="0" borderId="23" xfId="22" applyNumberFormat="1" applyFont="1" applyBorder="1" applyAlignment="1">
      <alignment horizontal="right" vertical="center" wrapText="1"/>
    </xf>
    <xf numFmtId="0" fontId="14" fillId="0" borderId="24" xfId="22" applyFont="1" applyBorder="1" applyAlignment="1">
      <alignment horizontal="center"/>
    </xf>
    <xf numFmtId="0" fontId="14" fillId="0" borderId="3" xfId="22" applyFont="1" applyBorder="1" applyAlignment="1">
      <alignment horizontal="center" vertical="top"/>
    </xf>
    <xf numFmtId="0" fontId="14" fillId="0" borderId="3" xfId="21" applyFont="1" applyBorder="1" applyAlignment="1">
      <alignment horizontal="left" wrapText="1"/>
    </xf>
    <xf numFmtId="0" fontId="14" fillId="0" borderId="3" xfId="21" applyFont="1" applyBorder="1" applyAlignment="1">
      <alignment horizontal="center" vertical="center" wrapText="1"/>
    </xf>
    <xf numFmtId="3" fontId="14" fillId="0" borderId="3" xfId="13" applyNumberFormat="1" applyFont="1" applyBorder="1" applyAlignment="1">
      <alignment horizontal="right"/>
    </xf>
    <xf numFmtId="3" fontId="14" fillId="0" borderId="3" xfId="11" applyNumberFormat="1" applyFont="1" applyBorder="1" applyAlignment="1">
      <alignment horizontal="right"/>
    </xf>
    <xf numFmtId="3" fontId="10" fillId="0" borderId="3" xfId="14" applyNumberFormat="1" applyFont="1" applyBorder="1" applyAlignment="1">
      <alignment horizontal="right"/>
    </xf>
    <xf numFmtId="3" fontId="14" fillId="0" borderId="25" xfId="14" applyNumberFormat="1" applyFont="1" applyBorder="1" applyAlignment="1">
      <alignment horizontal="right"/>
    </xf>
    <xf numFmtId="3" fontId="10" fillId="0" borderId="25" xfId="21" applyNumberFormat="1" applyFont="1" applyBorder="1" applyAlignment="1">
      <alignment horizontal="right"/>
    </xf>
    <xf numFmtId="3" fontId="14" fillId="0" borderId="3" xfId="13" applyNumberFormat="1" applyFont="1" applyBorder="1" applyAlignment="1">
      <alignment horizontal="left" wrapText="1"/>
    </xf>
    <xf numFmtId="3" fontId="14" fillId="0" borderId="3" xfId="13" applyNumberFormat="1" applyFont="1" applyBorder="1" applyAlignment="1">
      <alignment horizontal="center" vertical="center" wrapText="1"/>
    </xf>
    <xf numFmtId="3" fontId="14" fillId="0" borderId="3" xfId="14" applyNumberFormat="1" applyFont="1" applyBorder="1" applyAlignment="1">
      <alignment horizontal="right" wrapText="1"/>
    </xf>
    <xf numFmtId="3" fontId="14" fillId="0" borderId="3" xfId="21" applyNumberFormat="1" applyFont="1" applyBorder="1" applyAlignment="1">
      <alignment horizontal="right"/>
    </xf>
    <xf numFmtId="3" fontId="10" fillId="0" borderId="3" xfId="14" applyNumberFormat="1" applyFont="1" applyBorder="1" applyAlignment="1">
      <alignment horizontal="right" wrapText="1"/>
    </xf>
    <xf numFmtId="3" fontId="10" fillId="0" borderId="3" xfId="13" applyNumberFormat="1" applyFont="1" applyBorder="1" applyAlignment="1">
      <alignment horizontal="right"/>
    </xf>
    <xf numFmtId="3" fontId="14" fillId="0" borderId="3" xfId="14" applyNumberFormat="1" applyFont="1" applyBorder="1" applyAlignment="1">
      <alignment horizontal="right"/>
    </xf>
    <xf numFmtId="3" fontId="10" fillId="0" borderId="3" xfId="21" applyNumberFormat="1" applyFont="1" applyBorder="1" applyAlignment="1">
      <alignment horizontal="right"/>
    </xf>
    <xf numFmtId="0" fontId="14" fillId="0" borderId="3" xfId="13" applyFont="1" applyBorder="1" applyAlignment="1">
      <alignment horizontal="left" wrapText="1"/>
    </xf>
    <xf numFmtId="0" fontId="14" fillId="0" borderId="16" xfId="22" applyFont="1" applyBorder="1" applyAlignment="1">
      <alignment horizontal="center"/>
    </xf>
    <xf numFmtId="0" fontId="14" fillId="0" borderId="5" xfId="22" applyFont="1" applyBorder="1" applyAlignment="1">
      <alignment horizontal="center" vertical="top"/>
    </xf>
    <xf numFmtId="0" fontId="10" fillId="0" borderId="5" xfId="22" applyFont="1" applyBorder="1" applyAlignment="1">
      <alignment horizontal="left"/>
    </xf>
    <xf numFmtId="0" fontId="10" fillId="0" borderId="5" xfId="22" applyFont="1" applyBorder="1" applyAlignment="1">
      <alignment horizontal="center" vertical="center"/>
    </xf>
    <xf numFmtId="3" fontId="10" fillId="0" borderId="5" xfId="22" applyNumberFormat="1" applyFont="1" applyBorder="1" applyAlignment="1">
      <alignment horizontal="right"/>
    </xf>
    <xf numFmtId="3" fontId="10" fillId="0" borderId="26" xfId="22" applyNumberFormat="1" applyFont="1" applyBorder="1" applyAlignment="1">
      <alignment horizontal="right"/>
    </xf>
    <xf numFmtId="3" fontId="10" fillId="0" borderId="0" xfId="22" applyNumberFormat="1" applyFont="1" applyAlignment="1">
      <alignment vertical="center"/>
    </xf>
    <xf numFmtId="0" fontId="10" fillId="0" borderId="0" xfId="22" applyFont="1" applyAlignment="1">
      <alignment vertical="center"/>
    </xf>
    <xf numFmtId="0" fontId="14" fillId="0" borderId="20" xfId="22" applyFont="1" applyBorder="1" applyAlignment="1">
      <alignment horizontal="center"/>
    </xf>
    <xf numFmtId="0" fontId="14" fillId="0" borderId="21" xfId="22" applyFont="1" applyBorder="1" applyAlignment="1">
      <alignment horizontal="center"/>
    </xf>
    <xf numFmtId="0" fontId="35" fillId="0" borderId="21" xfId="22" applyFont="1" applyBorder="1" applyAlignment="1">
      <alignment horizontal="left"/>
    </xf>
    <xf numFmtId="0" fontId="10" fillId="0" borderId="21" xfId="22" applyFont="1" applyBorder="1" applyAlignment="1">
      <alignment horizontal="center" vertical="center"/>
    </xf>
    <xf numFmtId="3" fontId="10" fillId="0" borderId="21" xfId="22" applyNumberFormat="1" applyFont="1" applyBorder="1" applyAlignment="1">
      <alignment horizontal="right"/>
    </xf>
    <xf numFmtId="3" fontId="10" fillId="0" borderId="27" xfId="22" applyNumberFormat="1" applyFont="1" applyBorder="1" applyAlignment="1">
      <alignment horizontal="right"/>
    </xf>
    <xf numFmtId="3" fontId="10" fillId="0" borderId="28" xfId="22" applyNumberFormat="1" applyFont="1" applyBorder="1" applyAlignment="1">
      <alignment horizontal="right"/>
    </xf>
    <xf numFmtId="0" fontId="10" fillId="0" borderId="0" xfId="22" applyFont="1"/>
    <xf numFmtId="0" fontId="10" fillId="0" borderId="3" xfId="21" applyFont="1" applyBorder="1" applyAlignment="1">
      <alignment wrapText="1"/>
    </xf>
    <xf numFmtId="0" fontId="10" fillId="0" borderId="3" xfId="21" applyFont="1" applyBorder="1" applyAlignment="1">
      <alignment horizontal="center" vertical="center" wrapText="1"/>
    </xf>
    <xf numFmtId="3" fontId="14" fillId="0" borderId="4" xfId="21" applyNumberFormat="1" applyFont="1" applyBorder="1" applyAlignment="1">
      <alignment horizontal="right"/>
    </xf>
    <xf numFmtId="3" fontId="10" fillId="0" borderId="29" xfId="21" applyNumberFormat="1" applyFont="1" applyBorder="1" applyAlignment="1">
      <alignment horizontal="right"/>
    </xf>
    <xf numFmtId="3" fontId="22" fillId="0" borderId="3" xfId="5" applyNumberFormat="1" applyFont="1" applyBorder="1"/>
    <xf numFmtId="0" fontId="14" fillId="0" borderId="0" xfId="22" applyFont="1" applyAlignment="1">
      <alignment vertical="top"/>
    </xf>
    <xf numFmtId="0" fontId="14" fillId="0" borderId="4" xfId="21" applyFont="1" applyBorder="1" applyAlignment="1">
      <alignment horizontal="left" wrapText="1"/>
    </xf>
    <xf numFmtId="0" fontId="10" fillId="0" borderId="30" xfId="21" applyFont="1" applyBorder="1" applyAlignment="1">
      <alignment horizontal="right" wrapText="1"/>
    </xf>
    <xf numFmtId="3" fontId="14" fillId="0" borderId="30" xfId="21" applyNumberFormat="1" applyFont="1" applyBorder="1" applyAlignment="1">
      <alignment horizontal="right"/>
    </xf>
    <xf numFmtId="3" fontId="14" fillId="0" borderId="30" xfId="11" applyNumberFormat="1" applyFont="1" applyBorder="1" applyAlignment="1">
      <alignment horizontal="right"/>
    </xf>
    <xf numFmtId="3" fontId="10" fillId="0" borderId="30" xfId="21" applyNumberFormat="1" applyFont="1" applyBorder="1" applyAlignment="1">
      <alignment horizontal="right"/>
    </xf>
    <xf numFmtId="0" fontId="10" fillId="0" borderId="3" xfId="21" applyFont="1" applyBorder="1" applyAlignment="1">
      <alignment horizontal="right" wrapText="1"/>
    </xf>
    <xf numFmtId="0" fontId="14" fillId="0" borderId="3" xfId="21" applyFont="1" applyBorder="1" applyAlignment="1">
      <alignment wrapText="1"/>
    </xf>
    <xf numFmtId="0" fontId="10" fillId="0" borderId="3" xfId="21" applyFont="1" applyBorder="1" applyAlignment="1">
      <alignment horizontal="left" wrapText="1"/>
    </xf>
    <xf numFmtId="3" fontId="10" fillId="0" borderId="32" xfId="22" applyNumberFormat="1" applyFont="1" applyBorder="1" applyAlignment="1">
      <alignment horizontal="right"/>
    </xf>
    <xf numFmtId="0" fontId="10" fillId="0" borderId="33" xfId="22" applyFont="1" applyBorder="1" applyAlignment="1">
      <alignment horizontal="center"/>
    </xf>
    <xf numFmtId="0" fontId="10" fillId="0" borderId="34" xfId="22" applyFont="1" applyBorder="1" applyAlignment="1">
      <alignment horizontal="center" vertical="top"/>
    </xf>
    <xf numFmtId="0" fontId="10" fillId="0" borderId="34" xfId="22" applyFont="1" applyBorder="1" applyAlignment="1">
      <alignment horizontal="left"/>
    </xf>
    <xf numFmtId="0" fontId="10" fillId="0" borderId="34" xfId="22" applyFont="1" applyBorder="1" applyAlignment="1">
      <alignment horizontal="center" vertical="center"/>
    </xf>
    <xf numFmtId="3" fontId="10" fillId="0" borderId="34" xfId="22" applyNumberFormat="1" applyFont="1" applyBorder="1" applyAlignment="1">
      <alignment horizontal="right"/>
    </xf>
    <xf numFmtId="3" fontId="10" fillId="0" borderId="35" xfId="22" applyNumberFormat="1" applyFont="1" applyBorder="1" applyAlignment="1">
      <alignment horizontal="right"/>
    </xf>
    <xf numFmtId="3" fontId="10" fillId="0" borderId="36" xfId="22" applyNumberFormat="1" applyFont="1" applyBorder="1" applyAlignment="1">
      <alignment horizontal="right"/>
    </xf>
    <xf numFmtId="3" fontId="10" fillId="0" borderId="0" xfId="22" applyNumberFormat="1" applyFont="1"/>
    <xf numFmtId="3" fontId="36" fillId="0" borderId="37" xfId="8" applyNumberFormat="1" applyFont="1" applyBorder="1" applyAlignment="1">
      <alignment horizontal="left"/>
    </xf>
    <xf numFmtId="3" fontId="36" fillId="0" borderId="37" xfId="8" applyNumberFormat="1" applyFont="1" applyBorder="1" applyAlignment="1">
      <alignment horizontal="center"/>
    </xf>
    <xf numFmtId="3" fontId="36" fillId="0" borderId="37" xfId="8" applyNumberFormat="1" applyFont="1" applyBorder="1"/>
    <xf numFmtId="0" fontId="36" fillId="0" borderId="0" xfId="22" applyFont="1" applyAlignment="1">
      <alignment horizontal="center" vertical="center" wrapText="1"/>
    </xf>
    <xf numFmtId="3" fontId="36" fillId="0" borderId="0" xfId="22" applyNumberFormat="1" applyFont="1"/>
    <xf numFmtId="3" fontId="34" fillId="0" borderId="0" xfId="22" applyNumberFormat="1" applyFont="1"/>
    <xf numFmtId="0" fontId="36" fillId="0" borderId="0" xfId="22" applyFont="1"/>
    <xf numFmtId="0" fontId="29" fillId="0" borderId="92" xfId="0" applyFont="1" applyBorder="1" applyAlignment="1">
      <alignment vertical="top"/>
    </xf>
    <xf numFmtId="0" fontId="11" fillId="0" borderId="0" xfId="0" applyFont="1" applyAlignment="1">
      <alignment horizontal="right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49" fontId="14" fillId="0" borderId="41" xfId="0" applyNumberFormat="1" applyFont="1" applyBorder="1" applyAlignment="1">
      <alignment vertical="center"/>
    </xf>
    <xf numFmtId="3" fontId="14" fillId="0" borderId="42" xfId="0" applyNumberFormat="1" applyFont="1" applyBorder="1" applyAlignment="1" applyProtection="1">
      <alignment vertical="center"/>
      <protection locked="0"/>
    </xf>
    <xf numFmtId="3" fontId="14" fillId="0" borderId="43" xfId="0" applyNumberFormat="1" applyFont="1" applyBorder="1" applyAlignment="1">
      <alignment vertical="center"/>
    </xf>
    <xf numFmtId="49" fontId="14" fillId="0" borderId="44" xfId="0" applyNumberFormat="1" applyFont="1" applyBorder="1" applyAlignment="1">
      <alignment vertical="center"/>
    </xf>
    <xf numFmtId="3" fontId="14" fillId="0" borderId="45" xfId="0" applyNumberFormat="1" applyFont="1" applyBorder="1" applyAlignment="1" applyProtection="1">
      <alignment vertical="center"/>
      <protection locked="0"/>
    </xf>
    <xf numFmtId="3" fontId="14" fillId="0" borderId="46" xfId="0" applyNumberFormat="1" applyFont="1" applyBorder="1" applyAlignment="1">
      <alignment vertical="center"/>
    </xf>
    <xf numFmtId="49" fontId="14" fillId="0" borderId="47" xfId="0" applyNumberFormat="1" applyFont="1" applyBorder="1" applyAlignment="1" applyProtection="1">
      <alignment vertical="center"/>
      <protection locked="0"/>
    </xf>
    <xf numFmtId="3" fontId="14" fillId="0" borderId="48" xfId="0" applyNumberFormat="1" applyFont="1" applyBorder="1" applyAlignment="1" applyProtection="1">
      <alignment vertical="center"/>
      <protection locked="0"/>
    </xf>
    <xf numFmtId="49" fontId="10" fillId="0" borderId="49" xfId="0" applyNumberFormat="1" applyFont="1" applyBorder="1" applyAlignment="1">
      <alignment vertical="center"/>
    </xf>
    <xf numFmtId="3" fontId="10" fillId="0" borderId="50" xfId="0" applyNumberFormat="1" applyFont="1" applyBorder="1" applyAlignment="1">
      <alignment vertical="center"/>
    </xf>
    <xf numFmtId="3" fontId="10" fillId="0" borderId="51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49" fontId="14" fillId="0" borderId="44" xfId="0" applyNumberFormat="1" applyFont="1" applyBorder="1" applyAlignment="1">
      <alignment horizontal="left" vertical="center"/>
    </xf>
    <xf numFmtId="49" fontId="14" fillId="0" borderId="44" xfId="0" applyNumberFormat="1" applyFont="1" applyBorder="1" applyAlignment="1" applyProtection="1">
      <alignment vertical="center"/>
      <protection locked="0"/>
    </xf>
    <xf numFmtId="3" fontId="10" fillId="0" borderId="48" xfId="0" applyNumberFormat="1" applyFont="1" applyBorder="1" applyAlignment="1" applyProtection="1">
      <alignment vertical="center"/>
      <protection locked="0"/>
    </xf>
    <xf numFmtId="3" fontId="10" fillId="0" borderId="46" xfId="0" applyNumberFormat="1" applyFont="1" applyBorder="1" applyAlignment="1">
      <alignment vertical="center"/>
    </xf>
    <xf numFmtId="0" fontId="22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right" indent="1"/>
    </xf>
    <xf numFmtId="0" fontId="79" fillId="5" borderId="208" xfId="0" applyFont="1" applyFill="1" applyBorder="1" applyAlignment="1">
      <alignment vertical="center"/>
    </xf>
    <xf numFmtId="0" fontId="79" fillId="5" borderId="209" xfId="0" applyFont="1" applyFill="1" applyBorder="1" applyAlignment="1">
      <alignment horizontal="center" vertical="center"/>
    </xf>
    <xf numFmtId="0" fontId="79" fillId="5" borderId="210" xfId="0" applyFont="1" applyFill="1" applyBorder="1" applyAlignment="1">
      <alignment horizontal="center" vertical="center"/>
    </xf>
    <xf numFmtId="49" fontId="81" fillId="5" borderId="211" xfId="0" applyNumberFormat="1" applyFont="1" applyFill="1" applyBorder="1" applyAlignment="1">
      <alignment vertical="center"/>
    </xf>
    <xf numFmtId="3" fontId="81" fillId="5" borderId="212" xfId="0" applyNumberFormat="1" applyFont="1" applyFill="1" applyBorder="1" applyAlignment="1" applyProtection="1">
      <alignment vertical="center"/>
      <protection locked="0"/>
    </xf>
    <xf numFmtId="3" fontId="81" fillId="5" borderId="213" xfId="0" applyNumberFormat="1" applyFont="1" applyFill="1" applyBorder="1" applyAlignment="1">
      <alignment vertical="center"/>
    </xf>
    <xf numFmtId="49" fontId="81" fillId="5" borderId="214" xfId="0" applyNumberFormat="1" applyFont="1" applyFill="1" applyBorder="1" applyAlignment="1">
      <alignment vertical="center"/>
    </xf>
    <xf numFmtId="3" fontId="81" fillId="5" borderId="215" xfId="0" applyNumberFormat="1" applyFont="1" applyFill="1" applyBorder="1" applyAlignment="1" applyProtection="1">
      <alignment vertical="center"/>
      <protection locked="0"/>
    </xf>
    <xf numFmtId="3" fontId="81" fillId="5" borderId="216" xfId="0" applyNumberFormat="1" applyFont="1" applyFill="1" applyBorder="1" applyAlignment="1">
      <alignment vertical="center"/>
    </xf>
    <xf numFmtId="49" fontId="81" fillId="5" borderId="217" xfId="0" applyNumberFormat="1" applyFont="1" applyFill="1" applyBorder="1" applyAlignment="1" applyProtection="1">
      <alignment vertical="center"/>
      <protection locked="0"/>
    </xf>
    <xf numFmtId="3" fontId="81" fillId="5" borderId="218" xfId="0" applyNumberFormat="1" applyFont="1" applyFill="1" applyBorder="1" applyAlignment="1" applyProtection="1">
      <alignment vertical="center"/>
      <protection locked="0"/>
    </xf>
    <xf numFmtId="49" fontId="79" fillId="5" borderId="219" xfId="0" applyNumberFormat="1" applyFont="1" applyFill="1" applyBorder="1" applyAlignment="1">
      <alignment vertical="center"/>
    </xf>
    <xf numFmtId="3" fontId="79" fillId="5" borderId="220" xfId="0" applyNumberFormat="1" applyFont="1" applyFill="1" applyBorder="1" applyAlignment="1">
      <alignment vertical="center"/>
    </xf>
    <xf numFmtId="3" fontId="79" fillId="5" borderId="221" xfId="0" applyNumberFormat="1" applyFont="1" applyFill="1" applyBorder="1" applyAlignment="1">
      <alignment vertical="center"/>
    </xf>
    <xf numFmtId="0" fontId="81" fillId="5" borderId="0" xfId="0" applyFont="1" applyFill="1" applyAlignment="1">
      <alignment vertical="center"/>
    </xf>
    <xf numFmtId="49" fontId="81" fillId="5" borderId="214" xfId="0" applyNumberFormat="1" applyFont="1" applyFill="1" applyBorder="1" applyAlignment="1">
      <alignment horizontal="left" vertical="center"/>
    </xf>
    <xf numFmtId="49" fontId="81" fillId="5" borderId="214" xfId="0" applyNumberFormat="1" applyFont="1" applyFill="1" applyBorder="1" applyAlignment="1" applyProtection="1">
      <alignment vertical="center"/>
      <protection locked="0"/>
    </xf>
    <xf numFmtId="3" fontId="79" fillId="5" borderId="218" xfId="0" applyNumberFormat="1" applyFont="1" applyFill="1" applyBorder="1" applyAlignment="1" applyProtection="1">
      <alignment vertical="center"/>
      <protection locked="0"/>
    </xf>
    <xf numFmtId="3" fontId="79" fillId="5" borderId="216" xfId="0" applyNumberFormat="1" applyFont="1" applyFill="1" applyBorder="1" applyAlignment="1">
      <alignment vertical="center"/>
    </xf>
    <xf numFmtId="0" fontId="81" fillId="5" borderId="0" xfId="0" applyFont="1" applyFill="1"/>
    <xf numFmtId="0" fontId="79" fillId="5" borderId="207" xfId="0" applyFont="1" applyFill="1" applyBorder="1" applyAlignment="1">
      <alignment vertical="top" wrapText="1"/>
    </xf>
    <xf numFmtId="0" fontId="80" fillId="5" borderId="0" xfId="0" applyFont="1" applyFill="1"/>
    <xf numFmtId="0" fontId="82" fillId="5" borderId="0" xfId="0" applyFont="1" applyFill="1"/>
    <xf numFmtId="0" fontId="79" fillId="5" borderId="224" xfId="0" applyFont="1" applyFill="1" applyBorder="1" applyAlignment="1">
      <alignment vertical="center"/>
    </xf>
    <xf numFmtId="0" fontId="79" fillId="5" borderId="225" xfId="0" applyFont="1" applyFill="1" applyBorder="1" applyAlignment="1">
      <alignment horizontal="center" vertical="center"/>
    </xf>
    <xf numFmtId="0" fontId="79" fillId="5" borderId="226" xfId="0" applyFont="1" applyFill="1" applyBorder="1" applyAlignment="1">
      <alignment horizontal="center" vertical="center"/>
    </xf>
    <xf numFmtId="49" fontId="81" fillId="5" borderId="227" xfId="0" applyNumberFormat="1" applyFont="1" applyFill="1" applyBorder="1" applyAlignment="1">
      <alignment vertical="center"/>
    </xf>
    <xf numFmtId="3" fontId="81" fillId="5" borderId="228" xfId="0" applyNumberFormat="1" applyFont="1" applyFill="1" applyBorder="1" applyAlignment="1" applyProtection="1">
      <alignment vertical="center"/>
      <protection locked="0"/>
    </xf>
    <xf numFmtId="3" fontId="81" fillId="5" borderId="229" xfId="0" applyNumberFormat="1" applyFont="1" applyFill="1" applyBorder="1" applyAlignment="1">
      <alignment vertical="center"/>
    </xf>
    <xf numFmtId="0" fontId="21" fillId="3" borderId="3" xfId="0" applyFont="1" applyFill="1" applyBorder="1" applyAlignment="1">
      <alignment vertical="center" wrapText="1"/>
    </xf>
    <xf numFmtId="0" fontId="37" fillId="0" borderId="99" xfId="21" applyFont="1" applyBorder="1" applyAlignment="1">
      <alignment horizontal="left" vertical="center" wrapText="1"/>
    </xf>
    <xf numFmtId="3" fontId="37" fillId="0" borderId="99" xfId="21" applyNumberFormat="1" applyFont="1" applyFill="1" applyBorder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3" fontId="36" fillId="0" borderId="0" xfId="0" applyNumberFormat="1" applyFont="1"/>
    <xf numFmtId="0" fontId="83" fillId="0" borderId="0" xfId="0" applyFont="1" applyBorder="1"/>
    <xf numFmtId="0" fontId="83" fillId="0" borderId="0" xfId="0" applyFont="1" applyBorder="1" applyAlignment="1">
      <alignment horizontal="center" vertical="center"/>
    </xf>
    <xf numFmtId="0" fontId="84" fillId="3" borderId="0" xfId="0" applyFont="1" applyFill="1"/>
    <xf numFmtId="3" fontId="84" fillId="3" borderId="0" xfId="0" applyNumberFormat="1" applyFont="1" applyFill="1"/>
    <xf numFmtId="3" fontId="85" fillId="3" borderId="0" xfId="0" applyNumberFormat="1" applyFont="1" applyFill="1"/>
    <xf numFmtId="165" fontId="11" fillId="3" borderId="92" xfId="20" applyNumberFormat="1" applyFont="1" applyFill="1" applyBorder="1" applyAlignment="1" applyProtection="1">
      <alignment horizontal="left" vertical="center"/>
    </xf>
    <xf numFmtId="165" fontId="10" fillId="3" borderId="0" xfId="20" applyNumberFormat="1" applyFont="1" applyFill="1" applyBorder="1" applyAlignment="1" applyProtection="1">
      <alignment horizontal="center" vertical="center"/>
    </xf>
    <xf numFmtId="165" fontId="11" fillId="3" borderId="92" xfId="20" applyNumberFormat="1" applyFont="1" applyFill="1" applyBorder="1" applyAlignment="1" applyProtection="1">
      <alignment horizontal="left"/>
    </xf>
    <xf numFmtId="0" fontId="10" fillId="3" borderId="0" xfId="20" applyFont="1" applyFill="1" applyBorder="1" applyAlignment="1" applyProtection="1">
      <alignment horizontal="center"/>
    </xf>
    <xf numFmtId="3" fontId="21" fillId="3" borderId="99" xfId="10" applyNumberFormat="1" applyFont="1" applyFill="1" applyBorder="1" applyAlignment="1">
      <alignment horizontal="center" vertical="center" textRotation="90"/>
    </xf>
    <xf numFmtId="0" fontId="21" fillId="3" borderId="99" xfId="10" applyFont="1" applyFill="1" applyBorder="1" applyAlignment="1">
      <alignment horizontal="center" vertical="center" wrapText="1"/>
    </xf>
    <xf numFmtId="0" fontId="19" fillId="3" borderId="99" xfId="10" applyFont="1" applyFill="1" applyBorder="1" applyAlignment="1">
      <alignment horizontal="center" vertical="center" textRotation="90" wrapText="1"/>
    </xf>
    <xf numFmtId="3" fontId="19" fillId="3" borderId="3" xfId="10" applyNumberFormat="1" applyFont="1" applyFill="1" applyBorder="1" applyAlignment="1">
      <alignment horizontal="center"/>
    </xf>
    <xf numFmtId="3" fontId="19" fillId="3" borderId="4" xfId="10" applyNumberFormat="1" applyFont="1" applyFill="1" applyBorder="1" applyAlignment="1">
      <alignment horizontal="center"/>
    </xf>
    <xf numFmtId="0" fontId="19" fillId="3" borderId="202" xfId="0" applyFont="1" applyFill="1" applyBorder="1" applyAlignment="1">
      <alignment horizontal="center" vertical="center" wrapText="1"/>
    </xf>
    <xf numFmtId="3" fontId="19" fillId="3" borderId="30" xfId="10" applyNumberFormat="1" applyFont="1" applyFill="1" applyBorder="1" applyAlignment="1">
      <alignment horizontal="center"/>
    </xf>
    <xf numFmtId="3" fontId="19" fillId="3" borderId="131" xfId="5" applyNumberFormat="1" applyFont="1" applyFill="1" applyBorder="1" applyAlignment="1">
      <alignment horizontal="center" vertical="center" wrapText="1"/>
    </xf>
    <xf numFmtId="3" fontId="20" fillId="3" borderId="0" xfId="10" applyNumberFormat="1" applyFont="1" applyFill="1" applyBorder="1" applyAlignment="1">
      <alignment horizontal="left"/>
    </xf>
    <xf numFmtId="3" fontId="21" fillId="3" borderId="0" xfId="10" applyNumberFormat="1" applyFont="1" applyFill="1" applyBorder="1" applyAlignment="1">
      <alignment horizontal="center" vertical="center"/>
    </xf>
    <xf numFmtId="3" fontId="7" fillId="4" borderId="131" xfId="5" applyNumberFormat="1" applyFont="1" applyFill="1" applyBorder="1" applyAlignment="1">
      <alignment horizontal="center" vertical="center" wrapText="1"/>
    </xf>
    <xf numFmtId="3" fontId="7" fillId="4" borderId="9" xfId="10" applyNumberFormat="1" applyFont="1" applyFill="1" applyBorder="1" applyAlignment="1">
      <alignment horizontal="center" vertical="center" wrapText="1"/>
    </xf>
    <xf numFmtId="3" fontId="15" fillId="4" borderId="9" xfId="10" applyNumberFormat="1" applyFont="1" applyFill="1" applyBorder="1" applyAlignment="1">
      <alignment horizontal="center" vertical="center" wrapText="1" shrinkToFit="1"/>
    </xf>
    <xf numFmtId="3" fontId="7" fillId="4" borderId="9" xfId="5" applyNumberFormat="1" applyFont="1" applyFill="1" applyBorder="1" applyAlignment="1">
      <alignment horizontal="center" vertical="center" wrapText="1"/>
    </xf>
    <xf numFmtId="3" fontId="37" fillId="4" borderId="6" xfId="5" applyNumberFormat="1" applyFont="1" applyFill="1" applyBorder="1" applyAlignment="1">
      <alignment horizontal="center" vertical="center" wrapText="1"/>
    </xf>
    <xf numFmtId="3" fontId="7" fillId="4" borderId="10" xfId="5" applyNumberFormat="1" applyFont="1" applyFill="1" applyBorder="1" applyAlignment="1">
      <alignment horizontal="center" vertical="center" wrapText="1"/>
    </xf>
    <xf numFmtId="3" fontId="7" fillId="4" borderId="3" xfId="5" applyNumberFormat="1" applyFont="1" applyFill="1" applyBorder="1" applyAlignment="1">
      <alignment horizontal="center" vertical="center" wrapText="1"/>
    </xf>
    <xf numFmtId="3" fontId="7" fillId="4" borderId="3" xfId="10" applyNumberFormat="1" applyFont="1" applyFill="1" applyBorder="1" applyAlignment="1">
      <alignment horizontal="center"/>
    </xf>
    <xf numFmtId="0" fontId="7" fillId="4" borderId="202" xfId="0" applyFont="1" applyFill="1" applyBorder="1" applyAlignment="1">
      <alignment horizontal="center" wrapText="1"/>
    </xf>
    <xf numFmtId="3" fontId="7" fillId="4" borderId="30" xfId="10" applyNumberFormat="1" applyFont="1" applyFill="1" applyBorder="1" applyAlignment="1">
      <alignment horizontal="center"/>
    </xf>
    <xf numFmtId="3" fontId="10" fillId="4" borderId="9" xfId="10" applyNumberFormat="1" applyFont="1" applyFill="1" applyBorder="1" applyAlignment="1">
      <alignment horizontal="center" vertical="center" textRotation="90"/>
    </xf>
    <xf numFmtId="3" fontId="13" fillId="4" borderId="9" xfId="10" applyNumberFormat="1" applyFont="1" applyFill="1" applyBorder="1" applyAlignment="1">
      <alignment horizontal="center" vertical="center" textRotation="90"/>
    </xf>
    <xf numFmtId="0" fontId="6" fillId="4" borderId="9" xfId="10" applyFont="1" applyFill="1" applyBorder="1" applyAlignment="1">
      <alignment horizontal="center" vertical="center" wrapText="1"/>
    </xf>
    <xf numFmtId="0" fontId="6" fillId="4" borderId="9" xfId="10" applyFont="1" applyFill="1" applyBorder="1" applyAlignment="1">
      <alignment horizontal="center" vertical="center" textRotation="90" wrapText="1"/>
    </xf>
    <xf numFmtId="0" fontId="7" fillId="4" borderId="9" xfId="10" applyFont="1" applyFill="1" applyBorder="1" applyAlignment="1">
      <alignment horizontal="center" textRotation="90" wrapText="1"/>
    </xf>
    <xf numFmtId="3" fontId="7" fillId="4" borderId="10" xfId="5" applyNumberFormat="1" applyFont="1" applyFill="1" applyBorder="1" applyAlignment="1">
      <alignment horizontal="center" vertical="center"/>
    </xf>
    <xf numFmtId="3" fontId="15" fillId="4" borderId="0" xfId="10" applyNumberFormat="1" applyFont="1" applyFill="1" applyBorder="1" applyAlignment="1">
      <alignment horizontal="left"/>
    </xf>
    <xf numFmtId="3" fontId="6" fillId="4" borderId="0" xfId="10" applyNumberFormat="1" applyFont="1" applyFill="1" applyBorder="1" applyAlignment="1">
      <alignment horizontal="center" vertical="center"/>
    </xf>
    <xf numFmtId="3" fontId="7" fillId="4" borderId="0" xfId="10" applyNumberFormat="1" applyFont="1" applyFill="1" applyBorder="1" applyAlignment="1">
      <alignment horizontal="right"/>
    </xf>
    <xf numFmtId="3" fontId="14" fillId="4" borderId="0" xfId="1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3" fontId="31" fillId="0" borderId="9" xfId="10" applyNumberFormat="1" applyFont="1" applyFill="1" applyBorder="1" applyAlignment="1">
      <alignment horizontal="center" vertical="center" textRotation="90"/>
    </xf>
    <xf numFmtId="0" fontId="31" fillId="0" borderId="9" xfId="10" applyFont="1" applyFill="1" applyBorder="1" applyAlignment="1">
      <alignment horizontal="center" vertical="center" wrapText="1"/>
    </xf>
    <xf numFmtId="0" fontId="19" fillId="0" borderId="9" xfId="10" applyFont="1" applyFill="1" applyBorder="1" applyAlignment="1">
      <alignment horizontal="center" vertical="center" textRotation="90" wrapText="1"/>
    </xf>
    <xf numFmtId="3" fontId="30" fillId="0" borderId="3" xfId="10" applyNumberFormat="1" applyFont="1" applyFill="1" applyBorder="1" applyAlignment="1">
      <alignment horizontal="center"/>
    </xf>
    <xf numFmtId="3" fontId="30" fillId="0" borderId="4" xfId="10" applyNumberFormat="1" applyFont="1" applyFill="1" applyBorder="1" applyAlignment="1">
      <alignment horizontal="center"/>
    </xf>
    <xf numFmtId="0" fontId="30" fillId="0" borderId="202" xfId="0" applyFont="1" applyBorder="1" applyAlignment="1">
      <alignment horizontal="center" vertical="center" wrapText="1"/>
    </xf>
    <xf numFmtId="3" fontId="30" fillId="0" borderId="30" xfId="10" applyNumberFormat="1" applyFont="1" applyFill="1" applyBorder="1" applyAlignment="1">
      <alignment horizontal="center"/>
    </xf>
    <xf numFmtId="3" fontId="30" fillId="0" borderId="131" xfId="5" applyNumberFormat="1" applyFont="1" applyFill="1" applyBorder="1" applyAlignment="1">
      <alignment horizontal="center" vertical="center" wrapText="1"/>
    </xf>
    <xf numFmtId="3" fontId="20" fillId="0" borderId="0" xfId="10" applyNumberFormat="1" applyFont="1" applyFill="1" applyBorder="1" applyAlignment="1">
      <alignment horizontal="left"/>
    </xf>
    <xf numFmtId="3" fontId="21" fillId="0" borderId="0" xfId="10" applyNumberFormat="1" applyFont="1" applyFill="1" applyBorder="1" applyAlignment="1">
      <alignment horizontal="center" vertical="center"/>
    </xf>
    <xf numFmtId="3" fontId="19" fillId="0" borderId="0" xfId="10" applyNumberFormat="1" applyFont="1" applyFill="1" applyBorder="1" applyAlignment="1">
      <alignment horizontal="right"/>
    </xf>
    <xf numFmtId="3" fontId="58" fillId="4" borderId="131" xfId="5" applyNumberFormat="1" applyFont="1" applyFill="1" applyBorder="1" applyAlignment="1">
      <alignment horizontal="center" vertical="center" wrapText="1"/>
    </xf>
    <xf numFmtId="3" fontId="58" fillId="4" borderId="9" xfId="10" applyNumberFormat="1" applyFont="1" applyFill="1" applyBorder="1" applyAlignment="1">
      <alignment horizontal="center" vertical="center" wrapText="1"/>
    </xf>
    <xf numFmtId="3" fontId="60" fillId="4" borderId="9" xfId="10" applyNumberFormat="1" applyFont="1" applyFill="1" applyBorder="1" applyAlignment="1">
      <alignment horizontal="center" vertical="center" wrapText="1" shrinkToFit="1"/>
    </xf>
    <xf numFmtId="3" fontId="58" fillId="4" borderId="9" xfId="5" applyNumberFormat="1" applyFont="1" applyFill="1" applyBorder="1" applyAlignment="1">
      <alignment horizontal="center" vertical="center" wrapText="1"/>
    </xf>
    <xf numFmtId="3" fontId="58" fillId="4" borderId="3" xfId="5" applyNumberFormat="1" applyFont="1" applyFill="1" applyBorder="1" applyAlignment="1">
      <alignment horizontal="center" vertical="center" wrapText="1"/>
    </xf>
    <xf numFmtId="3" fontId="58" fillId="4" borderId="10" xfId="5" applyNumberFormat="1" applyFont="1" applyFill="1" applyBorder="1" applyAlignment="1">
      <alignment horizontal="center" vertical="center" wrapText="1"/>
    </xf>
    <xf numFmtId="3" fontId="60" fillId="4" borderId="0" xfId="10" applyNumberFormat="1" applyFont="1" applyFill="1" applyBorder="1" applyAlignment="1">
      <alignment horizontal="left"/>
    </xf>
    <xf numFmtId="3" fontId="59" fillId="4" borderId="0" xfId="10" applyNumberFormat="1" applyFont="1" applyFill="1" applyBorder="1" applyAlignment="1">
      <alignment horizontal="center" vertical="center"/>
    </xf>
    <xf numFmtId="3" fontId="58" fillId="4" borderId="0" xfId="10" applyNumberFormat="1" applyFont="1" applyFill="1" applyBorder="1" applyAlignment="1">
      <alignment horizontal="right"/>
    </xf>
    <xf numFmtId="3" fontId="58" fillId="4" borderId="3" xfId="10" applyNumberFormat="1" applyFont="1" applyFill="1" applyBorder="1" applyAlignment="1">
      <alignment horizontal="center"/>
    </xf>
    <xf numFmtId="0" fontId="58" fillId="4" borderId="4" xfId="0" applyFont="1" applyFill="1" applyBorder="1" applyAlignment="1">
      <alignment horizontal="center"/>
    </xf>
    <xf numFmtId="0" fontId="58" fillId="4" borderId="202" xfId="0" applyFont="1" applyFill="1" applyBorder="1" applyAlignment="1">
      <alignment horizontal="center" vertical="center" wrapText="1"/>
    </xf>
    <xf numFmtId="3" fontId="58" fillId="4" borderId="30" xfId="10" applyNumberFormat="1" applyFont="1" applyFill="1" applyBorder="1" applyAlignment="1">
      <alignment horizontal="center"/>
    </xf>
    <xf numFmtId="3" fontId="58" fillId="4" borderId="10" xfId="5" applyNumberFormat="1" applyFont="1" applyFill="1" applyBorder="1" applyAlignment="1">
      <alignment horizontal="center" vertical="center"/>
    </xf>
    <xf numFmtId="3" fontId="75" fillId="4" borderId="6" xfId="5" applyNumberFormat="1" applyFont="1" applyFill="1" applyBorder="1" applyAlignment="1">
      <alignment horizontal="center" vertical="center" wrapText="1"/>
    </xf>
    <xf numFmtId="3" fontId="76" fillId="4" borderId="9" xfId="10" applyNumberFormat="1" applyFont="1" applyFill="1" applyBorder="1" applyAlignment="1">
      <alignment horizontal="center" vertical="center" textRotation="90"/>
    </xf>
    <xf numFmtId="3" fontId="77" fillId="4" borderId="9" xfId="10" applyNumberFormat="1" applyFont="1" applyFill="1" applyBorder="1" applyAlignment="1">
      <alignment horizontal="center" vertical="center" textRotation="90"/>
    </xf>
    <xf numFmtId="0" fontId="59" fillId="4" borderId="9" xfId="10" applyFont="1" applyFill="1" applyBorder="1" applyAlignment="1">
      <alignment horizontal="center" vertical="center" wrapText="1"/>
    </xf>
    <xf numFmtId="0" fontId="58" fillId="4" borderId="9" xfId="10" applyFont="1" applyFill="1" applyBorder="1" applyAlignment="1">
      <alignment horizontal="center" vertical="center" textRotation="90" wrapText="1"/>
    </xf>
    <xf numFmtId="0" fontId="15" fillId="0" borderId="0" xfId="22" applyFont="1" applyAlignment="1">
      <alignment horizontal="left"/>
    </xf>
    <xf numFmtId="0" fontId="10" fillId="0" borderId="0" xfId="22" applyFont="1" applyAlignment="1">
      <alignment horizontal="center"/>
    </xf>
    <xf numFmtId="0" fontId="0" fillId="5" borderId="211" xfId="0" applyFill="1" applyBorder="1"/>
    <xf numFmtId="0" fontId="0" fillId="5" borderId="213" xfId="0" applyFill="1" applyBorder="1"/>
    <xf numFmtId="0" fontId="0" fillId="5" borderId="222" xfId="0" applyFill="1" applyBorder="1"/>
    <xf numFmtId="0" fontId="0" fillId="5" borderId="223" xfId="0" applyFill="1" applyBorder="1"/>
    <xf numFmtId="0" fontId="79" fillId="5" borderId="219" xfId="0" applyFont="1" applyFill="1" applyBorder="1" applyAlignment="1">
      <alignment horizontal="left" indent="1"/>
    </xf>
    <xf numFmtId="0" fontId="79" fillId="5" borderId="221" xfId="0" applyFont="1" applyFill="1" applyBorder="1" applyAlignment="1">
      <alignment horizontal="right" indent="1"/>
    </xf>
    <xf numFmtId="0" fontId="78" fillId="5" borderId="0" xfId="14" applyFont="1" applyFill="1" applyAlignment="1">
      <alignment horizontal="center" vertical="center"/>
    </xf>
    <xf numFmtId="0" fontId="79" fillId="5" borderId="0" xfId="14" applyFont="1" applyFill="1" applyAlignment="1">
      <alignment horizontal="center" vertical="center" wrapText="1"/>
    </xf>
    <xf numFmtId="3" fontId="79" fillId="5" borderId="207" xfId="10" applyNumberFormat="1" applyFont="1" applyFill="1" applyBorder="1" applyAlignment="1">
      <alignment horizontal="left" vertical="top" wrapText="1"/>
    </xf>
    <xf numFmtId="49" fontId="79" fillId="5" borderId="0" xfId="0" applyNumberFormat="1" applyFont="1" applyFill="1" applyAlignment="1">
      <alignment horizontal="left" vertical="center"/>
    </xf>
    <xf numFmtId="0" fontId="79" fillId="5" borderId="219" xfId="0" applyFont="1" applyFill="1" applyBorder="1" applyAlignment="1">
      <alignment horizontal="center"/>
    </xf>
    <xf numFmtId="0" fontId="79" fillId="5" borderId="221" xfId="0" applyFont="1" applyFill="1" applyBorder="1" applyAlignment="1">
      <alignment horizontal="center"/>
    </xf>
    <xf numFmtId="49" fontId="10" fillId="0" borderId="0" xfId="0" applyNumberFormat="1" applyFont="1" applyAlignment="1">
      <alignment horizontal="left" vertical="center"/>
    </xf>
    <xf numFmtId="0" fontId="29" fillId="0" borderId="92" xfId="0" applyFont="1" applyBorder="1" applyAlignment="1">
      <alignment vertical="top" wrapText="1"/>
    </xf>
    <xf numFmtId="0" fontId="0" fillId="0" borderId="92" xfId="0" applyBorder="1" applyAlignment="1">
      <alignment wrapText="1"/>
    </xf>
    <xf numFmtId="0" fontId="78" fillId="0" borderId="0" xfId="14" applyFont="1" applyAlignment="1">
      <alignment horizontal="center" vertical="center"/>
    </xf>
    <xf numFmtId="0" fontId="10" fillId="0" borderId="0" xfId="14" applyFont="1" applyAlignment="1">
      <alignment horizontal="center" vertical="center" wrapText="1"/>
    </xf>
    <xf numFmtId="0" fontId="6" fillId="0" borderId="0" xfId="14" applyFont="1" applyAlignment="1">
      <alignment horizontal="center" vertical="center"/>
    </xf>
    <xf numFmtId="0" fontId="10" fillId="0" borderId="51" xfId="0" applyFont="1" applyBorder="1" applyAlignment="1">
      <alignment horizontal="right" indent="1"/>
    </xf>
    <xf numFmtId="0" fontId="10" fillId="0" borderId="49" xfId="0" applyFont="1" applyBorder="1" applyAlignment="1">
      <alignment horizontal="left" indent="1"/>
    </xf>
    <xf numFmtId="0" fontId="14" fillId="0" borderId="137" xfId="0" applyFont="1" applyBorder="1" applyAlignment="1" applyProtection="1">
      <alignment horizontal="right" indent="1"/>
      <protection locked="0"/>
    </xf>
    <xf numFmtId="0" fontId="14" fillId="0" borderId="47" xfId="0" applyFont="1" applyBorder="1" applyAlignment="1" applyProtection="1">
      <alignment horizontal="left" indent="1"/>
      <protection locked="0"/>
    </xf>
    <xf numFmtId="0" fontId="14" fillId="0" borderId="43" xfId="0" applyFont="1" applyBorder="1" applyAlignment="1" applyProtection="1">
      <alignment horizontal="right" indent="1"/>
      <protection locked="0"/>
    </xf>
    <xf numFmtId="0" fontId="14" fillId="0" borderId="41" xfId="0" applyFont="1" applyBorder="1" applyAlignment="1" applyProtection="1">
      <alignment horizontal="left" indent="1"/>
      <protection locked="0"/>
    </xf>
    <xf numFmtId="0" fontId="10" fillId="0" borderId="40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79" fillId="5" borderId="207" xfId="0" applyFont="1" applyFill="1" applyBorder="1" applyAlignment="1">
      <alignment vertical="top" wrapText="1"/>
    </xf>
    <xf numFmtId="0" fontId="80" fillId="5" borderId="207" xfId="0" applyFont="1" applyFill="1" applyBorder="1" applyAlignment="1">
      <alignment horizontal="right"/>
    </xf>
    <xf numFmtId="0" fontId="15" fillId="0" borderId="0" xfId="21" applyFont="1" applyFill="1" applyBorder="1" applyAlignment="1">
      <alignment horizontal="left" vertical="center"/>
    </xf>
    <xf numFmtId="0" fontId="10" fillId="0" borderId="0" xfId="22" applyFont="1" applyFill="1" applyBorder="1" applyAlignment="1">
      <alignment horizontal="center" vertical="center"/>
    </xf>
    <xf numFmtId="0" fontId="10" fillId="0" borderId="0" xfId="21" applyFont="1" applyFill="1" applyBorder="1" applyAlignment="1">
      <alignment horizontal="center"/>
    </xf>
    <xf numFmtId="0" fontId="15" fillId="0" borderId="0" xfId="8" applyFont="1" applyBorder="1" applyAlignment="1">
      <alignment horizontal="left" vertical="center"/>
    </xf>
    <xf numFmtId="0" fontId="6" fillId="0" borderId="0" xfId="8" applyFont="1" applyBorder="1" applyAlignment="1">
      <alignment horizontal="center" vertical="center"/>
    </xf>
    <xf numFmtId="3" fontId="38" fillId="0" borderId="199" xfId="12" applyNumberFormat="1" applyFont="1" applyFill="1" applyBorder="1" applyAlignment="1">
      <alignment horizontal="center" vertical="center" wrapText="1"/>
    </xf>
    <xf numFmtId="3" fontId="38" fillId="0" borderId="203" xfId="12" applyNumberFormat="1" applyFont="1" applyFill="1" applyBorder="1" applyAlignment="1">
      <alignment horizontal="center" vertical="center" wrapText="1"/>
    </xf>
    <xf numFmtId="3" fontId="38" fillId="0" borderId="102" xfId="12" applyNumberFormat="1" applyFont="1" applyFill="1" applyBorder="1" applyAlignment="1">
      <alignment horizontal="center" vertical="center" wrapText="1"/>
    </xf>
    <xf numFmtId="0" fontId="38" fillId="0" borderId="0" xfId="21" applyFont="1" applyFill="1" applyBorder="1" applyAlignment="1">
      <alignment horizontal="center" vertical="center"/>
    </xf>
    <xf numFmtId="0" fontId="39" fillId="0" borderId="0" xfId="21" applyFont="1" applyFill="1" applyBorder="1" applyAlignment="1">
      <alignment horizontal="center" vertical="center"/>
    </xf>
    <xf numFmtId="0" fontId="37" fillId="0" borderId="0" xfId="21" applyFont="1" applyFill="1" applyBorder="1" applyAlignment="1">
      <alignment horizontal="right" vertical="center"/>
    </xf>
    <xf numFmtId="0" fontId="37" fillId="0" borderId="0" xfId="21" applyFont="1" applyFill="1" applyBorder="1" applyAlignment="1">
      <alignment horizontal="center" vertical="center"/>
    </xf>
    <xf numFmtId="0" fontId="15" fillId="0" borderId="101" xfId="12" applyFont="1" applyFill="1" applyBorder="1" applyAlignment="1">
      <alignment horizontal="center" vertical="center" textRotation="90"/>
    </xf>
    <xf numFmtId="0" fontId="38" fillId="0" borderId="5" xfId="12" applyFont="1" applyFill="1" applyBorder="1" applyAlignment="1">
      <alignment horizontal="center" vertical="center" wrapText="1"/>
    </xf>
    <xf numFmtId="3" fontId="38" fillId="0" borderId="5" xfId="12" applyNumberFormat="1" applyFont="1" applyFill="1" applyBorder="1" applyAlignment="1">
      <alignment horizontal="center" vertical="center" wrapText="1"/>
    </xf>
    <xf numFmtId="0" fontId="6" fillId="0" borderId="194" xfId="0" applyFont="1" applyBorder="1" applyAlignment="1">
      <alignment horizontal="center" vertical="center" wrapText="1"/>
    </xf>
    <xf numFmtId="3" fontId="6" fillId="0" borderId="51" xfId="0" applyNumberFormat="1" applyFont="1" applyBorder="1" applyAlignment="1">
      <alignment horizontal="center" vertical="center" wrapText="1"/>
    </xf>
    <xf numFmtId="0" fontId="38" fillId="0" borderId="194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top"/>
    </xf>
    <xf numFmtId="0" fontId="11" fillId="0" borderId="0" xfId="0" applyFont="1" applyFill="1" applyBorder="1" applyAlignment="1" applyProtection="1">
      <alignment horizontal="right"/>
    </xf>
    <xf numFmtId="0" fontId="7" fillId="0" borderId="92" xfId="0" applyFont="1" applyBorder="1" applyAlignment="1">
      <alignment horizontal="center" vertical="top"/>
    </xf>
    <xf numFmtId="3" fontId="7" fillId="0" borderId="92" xfId="0" applyNumberFormat="1" applyFont="1" applyBorder="1" applyAlignment="1">
      <alignment horizontal="center"/>
    </xf>
    <xf numFmtId="0" fontId="38" fillId="0" borderId="0" xfId="15" applyFont="1" applyBorder="1" applyAlignment="1">
      <alignment horizontal="center" vertical="center" wrapText="1"/>
    </xf>
    <xf numFmtId="0" fontId="14" fillId="0" borderId="204" xfId="16" applyFont="1" applyBorder="1" applyAlignment="1">
      <alignment horizontal="center"/>
    </xf>
    <xf numFmtId="0" fontId="14" fillId="0" borderId="9" xfId="15" applyFont="1" applyBorder="1" applyAlignment="1">
      <alignment horizontal="center" vertical="center" wrapText="1"/>
    </xf>
    <xf numFmtId="0" fontId="38" fillId="0" borderId="12" xfId="15" applyFont="1" applyBorder="1" applyAlignment="1">
      <alignment horizontal="left" vertical="center"/>
    </xf>
    <xf numFmtId="0" fontId="13" fillId="0" borderId="188" xfId="20" applyFont="1" applyFill="1" applyBorder="1" applyAlignment="1">
      <alignment horizontal="center" vertical="center" wrapText="1"/>
    </xf>
    <xf numFmtId="0" fontId="13" fillId="0" borderId="159" xfId="20" applyFont="1" applyFill="1" applyBorder="1" applyAlignment="1">
      <alignment horizontal="center" vertical="center" wrapText="1"/>
    </xf>
    <xf numFmtId="0" fontId="13" fillId="0" borderId="189" xfId="20" applyFont="1" applyFill="1" applyBorder="1" applyAlignment="1">
      <alignment horizontal="center" vertical="center" wrapText="1"/>
    </xf>
    <xf numFmtId="0" fontId="13" fillId="0" borderId="18" xfId="20" applyFont="1" applyFill="1" applyBorder="1" applyAlignment="1">
      <alignment horizontal="center" vertical="center" wrapText="1"/>
    </xf>
    <xf numFmtId="0" fontId="13" fillId="0" borderId="205" xfId="20" applyFont="1" applyFill="1" applyBorder="1" applyAlignment="1">
      <alignment horizontal="center" vertical="center" wrapText="1"/>
    </xf>
    <xf numFmtId="0" fontId="13" fillId="0" borderId="190" xfId="20" applyFont="1" applyFill="1" applyBorder="1" applyAlignment="1">
      <alignment horizontal="center" vertical="center" wrapText="1"/>
    </xf>
    <xf numFmtId="0" fontId="13" fillId="0" borderId="160" xfId="20" applyFont="1" applyFill="1" applyBorder="1" applyAlignment="1">
      <alignment horizontal="center" vertical="center" wrapText="1"/>
    </xf>
    <xf numFmtId="165" fontId="38" fillId="0" borderId="0" xfId="20" applyNumberFormat="1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10" fillId="0" borderId="194" xfId="20" applyFont="1" applyFill="1" applyBorder="1" applyAlignment="1" applyProtection="1">
      <alignment horizontal="left"/>
    </xf>
    <xf numFmtId="0" fontId="14" fillId="0" borderId="37" xfId="20" applyFont="1" applyFill="1" applyBorder="1" applyAlignment="1">
      <alignment horizontal="justify" vertical="center" wrapText="1"/>
    </xf>
    <xf numFmtId="0" fontId="30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4">
    <cellStyle name="Ezres" xfId="1" builtinId="3"/>
    <cellStyle name="Ezres 2" xfId="2"/>
    <cellStyle name="Ezres 3" xfId="3"/>
    <cellStyle name="Normál" xfId="0" builtinId="0"/>
    <cellStyle name="Normál 2" xfId="4"/>
    <cellStyle name="Normál 2 2" xfId="5"/>
    <cellStyle name="Normál 2 3" xfId="6"/>
    <cellStyle name="Normál 2 5" xfId="7"/>
    <cellStyle name="Normál 3" xfId="8"/>
    <cellStyle name="Normál 4" xfId="9"/>
    <cellStyle name="Normál_2007.évi konc. összefoglaló bevétel" xfId="10"/>
    <cellStyle name="Normál_2007.évi konc. összefoglaló bevétel 2" xfId="11"/>
    <cellStyle name="Normál_2008.évi költségvetési javaslat" xfId="12"/>
    <cellStyle name="Normál_Beruházási tábla 2007" xfId="13"/>
    <cellStyle name="Normál_EU-s tábla kv-hez" xfId="14"/>
    <cellStyle name="Normál_Hitel tábla 2012 terv" xfId="15"/>
    <cellStyle name="Normál_Hitel tábla 2012 terv (2)" xfId="16"/>
    <cellStyle name="Normál_hitelállomány07_12" xfId="17"/>
    <cellStyle name="Normál_hiteltörl költségvetés 2014" xfId="18"/>
    <cellStyle name="Normál_Intézményi bevétel-kiadás" xfId="19"/>
    <cellStyle name="Normál_KVRENMUNKA" xfId="20"/>
    <cellStyle name="Normál_Városfejlesztési Iroda - 2008. kv. tervezés" xfId="21"/>
    <cellStyle name="Normál_Városfejlesztési Iroda - 2008. kv. tervezés_2014.évi eredeti előirányzat" xfId="22"/>
    <cellStyle name="Százalék 2" xfId="23"/>
  </cellStyles>
  <dxfs count="1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zoomScaleNormal="100" zoomScaleSheetLayoutView="100" workbookViewId="0">
      <selection activeCell="C34" sqref="C34"/>
    </sheetView>
  </sheetViews>
  <sheetFormatPr defaultRowHeight="15" x14ac:dyDescent="0.25"/>
  <cols>
    <col min="3" max="3" width="44.5703125" customWidth="1"/>
  </cols>
  <sheetData>
    <row r="1" spans="1:3" ht="18" x14ac:dyDescent="0.25">
      <c r="A1" s="1" t="s">
        <v>0</v>
      </c>
      <c r="B1" s="1" t="s">
        <v>1</v>
      </c>
      <c r="C1" s="1" t="s">
        <v>2</v>
      </c>
    </row>
    <row r="2" spans="1:3" ht="18" x14ac:dyDescent="0.25">
      <c r="A2" s="1" t="s">
        <v>3</v>
      </c>
      <c r="B2" s="2"/>
      <c r="C2" s="3" t="s">
        <v>4</v>
      </c>
    </row>
    <row r="3" spans="1:3" ht="18" x14ac:dyDescent="0.35">
      <c r="A3" s="4"/>
      <c r="B3" s="5" t="s">
        <v>3</v>
      </c>
      <c r="C3" s="4" t="s">
        <v>4</v>
      </c>
    </row>
    <row r="4" spans="1:3" ht="18" x14ac:dyDescent="0.35">
      <c r="A4" s="4"/>
      <c r="B4" s="5" t="s">
        <v>5</v>
      </c>
      <c r="C4" s="4" t="s">
        <v>6</v>
      </c>
    </row>
    <row r="5" spans="1:3" ht="18" x14ac:dyDescent="0.35">
      <c r="A5" s="4"/>
      <c r="B5" s="5" t="s">
        <v>7</v>
      </c>
      <c r="C5" s="6" t="s">
        <v>8</v>
      </c>
    </row>
    <row r="6" spans="1:3" ht="18" x14ac:dyDescent="0.35">
      <c r="A6" s="4"/>
      <c r="B6" s="5" t="s">
        <v>9</v>
      </c>
      <c r="C6" s="6" t="s">
        <v>10</v>
      </c>
    </row>
    <row r="7" spans="1:3" ht="18" x14ac:dyDescent="0.35">
      <c r="A7" s="4"/>
      <c r="B7" s="5" t="s">
        <v>11</v>
      </c>
      <c r="C7" s="6" t="s">
        <v>397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view="pageBreakPreview" zoomScale="80" zoomScaleNormal="80" zoomScaleSheetLayoutView="80" workbookViewId="0">
      <selection sqref="A1:B1"/>
    </sheetView>
  </sheetViews>
  <sheetFormatPr defaultRowHeight="15" x14ac:dyDescent="0.3"/>
  <cols>
    <col min="1" max="1" width="8.5703125" style="141" customWidth="1"/>
    <col min="2" max="2" width="62.42578125" style="142" customWidth="1"/>
    <col min="3" max="3" width="16.5703125" style="143" customWidth="1"/>
    <col min="4" max="4" width="8.5703125" style="144" customWidth="1"/>
    <col min="5" max="5" width="56.5703125" style="142" customWidth="1"/>
    <col min="6" max="6" width="16.5703125" style="143" customWidth="1"/>
    <col min="7" max="7" width="3.42578125" style="145" customWidth="1"/>
    <col min="8" max="16384" width="9.140625" style="142"/>
  </cols>
  <sheetData>
    <row r="1" spans="1:7" s="148" customFormat="1" ht="14.25" x14ac:dyDescent="0.25">
      <c r="A1" s="1024" t="s">
        <v>728</v>
      </c>
      <c r="B1" s="1024"/>
      <c r="C1" s="146"/>
      <c r="D1" s="147"/>
      <c r="F1" s="149"/>
      <c r="G1" s="150"/>
    </row>
    <row r="2" spans="1:7" s="152" customFormat="1" ht="26.25" customHeight="1" x14ac:dyDescent="0.25">
      <c r="A2" s="1025" t="s">
        <v>636</v>
      </c>
      <c r="B2" s="1025"/>
      <c r="C2" s="1025"/>
      <c r="D2" s="1025"/>
      <c r="E2" s="1025"/>
      <c r="F2" s="1025"/>
      <c r="G2" s="151"/>
    </row>
    <row r="3" spans="1:7" s="152" customFormat="1" ht="27.75" customHeight="1" x14ac:dyDescent="0.25">
      <c r="A3" s="1025"/>
      <c r="B3" s="1025"/>
      <c r="C3" s="1025"/>
      <c r="D3" s="1025"/>
      <c r="E3" s="1025"/>
      <c r="F3" s="1025"/>
      <c r="G3" s="151"/>
    </row>
    <row r="4" spans="1:7" ht="25.5" customHeight="1" x14ac:dyDescent="0.3">
      <c r="A4" s="153"/>
      <c r="B4" s="154" t="s">
        <v>446</v>
      </c>
      <c r="C4" s="155" t="s">
        <v>447</v>
      </c>
      <c r="D4" s="156"/>
      <c r="E4" s="157" t="s">
        <v>448</v>
      </c>
      <c r="F4" s="158" t="s">
        <v>447</v>
      </c>
    </row>
    <row r="5" spans="1:7" ht="15" customHeight="1" x14ac:dyDescent="0.3">
      <c r="A5" s="159" t="s">
        <v>3</v>
      </c>
      <c r="B5" s="142" t="s">
        <v>449</v>
      </c>
      <c r="C5" s="160">
        <f>'1. Bevételek_kiadások_összesen'!C6</f>
        <v>1177805</v>
      </c>
      <c r="D5" s="161" t="s">
        <v>3</v>
      </c>
      <c r="E5" s="142" t="s">
        <v>450</v>
      </c>
      <c r="F5" s="162">
        <f>'1. Bevételek_kiadások_összesen'!C94</f>
        <v>1052004.8158995816</v>
      </c>
    </row>
    <row r="6" spans="1:7" ht="15" customHeight="1" x14ac:dyDescent="0.3">
      <c r="A6" s="159" t="s">
        <v>5</v>
      </c>
      <c r="B6" s="142" t="s">
        <v>451</v>
      </c>
      <c r="C6" s="160">
        <f>'1. Bevételek_kiadások_összesen'!C12</f>
        <v>281650</v>
      </c>
      <c r="D6" s="161" t="s">
        <v>5</v>
      </c>
      <c r="E6" s="142" t="s">
        <v>182</v>
      </c>
      <c r="F6" s="162">
        <f>'1. Bevételek_kiadások_összesen'!C95</f>
        <v>207392.01910041843</v>
      </c>
    </row>
    <row r="7" spans="1:7" x14ac:dyDescent="0.3">
      <c r="A7" s="159" t="s">
        <v>7</v>
      </c>
      <c r="B7" s="142" t="s">
        <v>285</v>
      </c>
      <c r="C7" s="160">
        <f>'1. Bevételek_kiadások_összesen'!C26</f>
        <v>998464</v>
      </c>
      <c r="D7" s="161" t="s">
        <v>7</v>
      </c>
      <c r="E7" s="163" t="s">
        <v>452</v>
      </c>
      <c r="F7" s="162">
        <f>'1. Bevételek_kiadások_összesen'!C96</f>
        <v>1203451</v>
      </c>
    </row>
    <row r="8" spans="1:7" x14ac:dyDescent="0.3">
      <c r="A8" s="159" t="s">
        <v>9</v>
      </c>
      <c r="B8" s="164" t="s">
        <v>453</v>
      </c>
      <c r="C8" s="160">
        <f>'1. Bevételek_kiadások_összesen'!C34</f>
        <v>297591</v>
      </c>
      <c r="D8" s="165" t="s">
        <v>9</v>
      </c>
      <c r="E8" s="163" t="s">
        <v>184</v>
      </c>
      <c r="F8" s="162">
        <f>'1. Bevételek_kiadások_összesen'!C97</f>
        <v>68000</v>
      </c>
    </row>
    <row r="9" spans="1:7" x14ac:dyDescent="0.3">
      <c r="A9" s="159">
        <v>5</v>
      </c>
      <c r="B9" s="163" t="s">
        <v>454</v>
      </c>
      <c r="C9" s="160">
        <f>'1. Bevételek_kiadások_összesen'!C51</f>
        <v>0</v>
      </c>
      <c r="D9" s="165" t="s">
        <v>11</v>
      </c>
      <c r="E9" s="166" t="s">
        <v>455</v>
      </c>
      <c r="F9" s="167">
        <f>'1. Bevételek_kiadások_összesen'!C98</f>
        <v>596739</v>
      </c>
    </row>
    <row r="10" spans="1:7" x14ac:dyDescent="0.3">
      <c r="A10" s="159"/>
      <c r="B10" s="163"/>
      <c r="C10" s="168"/>
      <c r="D10" s="165" t="s">
        <v>91</v>
      </c>
      <c r="E10" s="166" t="s">
        <v>456</v>
      </c>
      <c r="F10" s="167">
        <f>'1. Bevételek_kiadások_összesen'!C124</f>
        <v>0</v>
      </c>
    </row>
    <row r="11" spans="1:7" x14ac:dyDescent="0.3">
      <c r="A11" s="159"/>
      <c r="B11" s="164"/>
      <c r="C11" s="168"/>
      <c r="D11" s="165"/>
      <c r="E11" s="166"/>
      <c r="F11" s="167"/>
    </row>
    <row r="12" spans="1:7" s="152" customFormat="1" ht="24.95" customHeight="1" x14ac:dyDescent="0.25">
      <c r="A12" s="169"/>
      <c r="B12" s="170" t="s">
        <v>457</v>
      </c>
      <c r="C12" s="171">
        <f>SUM(C5:C11)</f>
        <v>2755510</v>
      </c>
      <c r="D12" s="172"/>
      <c r="E12" s="170" t="s">
        <v>458</v>
      </c>
      <c r="F12" s="173">
        <f>SUM(F5:F11)</f>
        <v>3127586.835</v>
      </c>
      <c r="G12" s="151"/>
    </row>
    <row r="13" spans="1:7" ht="23.25" customHeight="1" x14ac:dyDescent="0.3">
      <c r="A13" s="174"/>
      <c r="B13" s="175" t="s">
        <v>459</v>
      </c>
      <c r="C13" s="176"/>
      <c r="D13" s="177"/>
      <c r="E13" s="175" t="s">
        <v>460</v>
      </c>
      <c r="F13" s="178"/>
      <c r="G13" s="179"/>
    </row>
    <row r="14" spans="1:7" x14ac:dyDescent="0.3">
      <c r="A14" s="159" t="s">
        <v>91</v>
      </c>
      <c r="B14" s="180" t="s">
        <v>461</v>
      </c>
      <c r="C14" s="181">
        <f>'1. Bevételek_kiadások_összesen'!C19</f>
        <v>0</v>
      </c>
      <c r="D14" s="182" t="s">
        <v>239</v>
      </c>
      <c r="E14" s="180" t="s">
        <v>462</v>
      </c>
      <c r="F14" s="178">
        <f>'1. Bevételek_kiadások_összesen'!C110</f>
        <v>2818698</v>
      </c>
      <c r="G14" s="183"/>
    </row>
    <row r="15" spans="1:7" x14ac:dyDescent="0.3">
      <c r="A15" s="159" t="s">
        <v>239</v>
      </c>
      <c r="B15" s="180" t="s">
        <v>289</v>
      </c>
      <c r="C15" s="181">
        <f>'1. Bevételek_kiadások_összesen'!C45</f>
        <v>85977</v>
      </c>
      <c r="D15" s="182" t="s">
        <v>113</v>
      </c>
      <c r="E15" s="180" t="s">
        <v>463</v>
      </c>
      <c r="F15" s="178">
        <f>'1. Bevételek_kiadások_összesen'!C112</f>
        <v>2358247</v>
      </c>
      <c r="G15" s="183"/>
    </row>
    <row r="16" spans="1:7" x14ac:dyDescent="0.3">
      <c r="A16" s="159" t="s">
        <v>113</v>
      </c>
      <c r="B16" s="142" t="s">
        <v>464</v>
      </c>
      <c r="C16" s="181">
        <f>'1. Bevételek_kiadások_összesen'!C56</f>
        <v>0</v>
      </c>
      <c r="D16" s="182" t="s">
        <v>123</v>
      </c>
      <c r="E16" s="180" t="s">
        <v>465</v>
      </c>
      <c r="F16" s="178">
        <f>'1. Bevételek_kiadások_összesen'!C114</f>
        <v>0</v>
      </c>
      <c r="G16" s="183"/>
    </row>
    <row r="17" spans="1:7" x14ac:dyDescent="0.3">
      <c r="A17" s="159"/>
      <c r="C17" s="181"/>
      <c r="D17" s="182" t="s">
        <v>253</v>
      </c>
      <c r="E17" s="180" t="s">
        <v>466</v>
      </c>
      <c r="F17" s="178">
        <f>'1. Bevételek_kiadások_összesen'!C125</f>
        <v>393065</v>
      </c>
      <c r="G17" s="183"/>
    </row>
    <row r="18" spans="1:7" x14ac:dyDescent="0.3">
      <c r="A18" s="159"/>
      <c r="C18" s="181"/>
      <c r="D18" s="182"/>
      <c r="E18" s="180"/>
      <c r="F18" s="178"/>
      <c r="G18" s="183"/>
    </row>
    <row r="19" spans="1:7" s="152" customFormat="1" ht="24.95" customHeight="1" x14ac:dyDescent="0.25">
      <c r="A19" s="184"/>
      <c r="B19" s="185" t="s">
        <v>467</v>
      </c>
      <c r="C19" s="186">
        <f>SUM(C14:C18)</f>
        <v>85977</v>
      </c>
      <c r="D19" s="187"/>
      <c r="E19" s="185" t="s">
        <v>468</v>
      </c>
      <c r="F19" s="188">
        <f>SUM(F14:F18)</f>
        <v>5570010</v>
      </c>
      <c r="G19" s="151"/>
    </row>
    <row r="20" spans="1:7" s="152" customFormat="1" ht="24.95" customHeight="1" x14ac:dyDescent="0.25">
      <c r="A20" s="189"/>
      <c r="B20" s="190" t="s">
        <v>469</v>
      </c>
      <c r="C20" s="191">
        <f>C12+C19</f>
        <v>2841487</v>
      </c>
      <c r="D20" s="192"/>
      <c r="E20" s="193" t="s">
        <v>470</v>
      </c>
      <c r="F20" s="194">
        <f>F12+F19</f>
        <v>8697596.8350000009</v>
      </c>
      <c r="G20" s="151"/>
    </row>
    <row r="21" spans="1:7" s="152" customFormat="1" ht="24.95" customHeight="1" x14ac:dyDescent="0.3">
      <c r="A21" s="159"/>
      <c r="B21" s="175" t="s">
        <v>471</v>
      </c>
      <c r="C21" s="195"/>
      <c r="D21" s="196"/>
      <c r="E21" s="175" t="s">
        <v>472</v>
      </c>
      <c r="F21" s="197"/>
      <c r="G21" s="151"/>
    </row>
    <row r="22" spans="1:7" s="152" customFormat="1" x14ac:dyDescent="0.25">
      <c r="A22" s="159" t="s">
        <v>123</v>
      </c>
      <c r="B22" s="152" t="s">
        <v>473</v>
      </c>
      <c r="C22" s="195">
        <v>0</v>
      </c>
      <c r="D22" s="196" t="s">
        <v>474</v>
      </c>
      <c r="E22" s="152" t="s">
        <v>475</v>
      </c>
      <c r="F22" s="197"/>
      <c r="G22" s="151"/>
    </row>
    <row r="23" spans="1:7" s="152" customFormat="1" x14ac:dyDescent="0.25">
      <c r="A23" s="159" t="s">
        <v>253</v>
      </c>
      <c r="B23" s="152" t="s">
        <v>476</v>
      </c>
      <c r="C23" s="195">
        <v>372077</v>
      </c>
      <c r="D23" s="196" t="s">
        <v>477</v>
      </c>
      <c r="E23" s="152" t="s">
        <v>243</v>
      </c>
      <c r="F23" s="197">
        <f>SUM('3. Önk.kiad.'!U105)</f>
        <v>1075151</v>
      </c>
      <c r="G23" s="151"/>
    </row>
    <row r="24" spans="1:7" s="152" customFormat="1" x14ac:dyDescent="0.25">
      <c r="A24" s="159" t="s">
        <v>474</v>
      </c>
      <c r="B24" s="152" t="s">
        <v>156</v>
      </c>
      <c r="C24" s="195">
        <f>SUM('1. Bevételek_kiadások_összesen'!C77)</f>
        <v>1075151</v>
      </c>
      <c r="D24" s="196"/>
      <c r="F24" s="197"/>
      <c r="G24" s="151"/>
    </row>
    <row r="25" spans="1:7" s="152" customFormat="1" ht="24.95" customHeight="1" x14ac:dyDescent="0.3">
      <c r="A25" s="159"/>
      <c r="B25" s="175" t="s">
        <v>478</v>
      </c>
      <c r="C25" s="195"/>
      <c r="D25" s="196"/>
      <c r="E25" s="175" t="s">
        <v>479</v>
      </c>
      <c r="F25" s="197"/>
      <c r="G25" s="151"/>
    </row>
    <row r="26" spans="1:7" s="152" customFormat="1" x14ac:dyDescent="0.25">
      <c r="A26" s="159" t="s">
        <v>477</v>
      </c>
      <c r="B26" s="198" t="s">
        <v>480</v>
      </c>
      <c r="C26" s="195">
        <v>0</v>
      </c>
      <c r="D26" s="196" t="s">
        <v>481</v>
      </c>
      <c r="E26" s="198" t="s">
        <v>482</v>
      </c>
      <c r="F26" s="197">
        <v>0</v>
      </c>
      <c r="G26" s="151"/>
    </row>
    <row r="27" spans="1:7" s="152" customFormat="1" x14ac:dyDescent="0.25">
      <c r="A27" s="159" t="s">
        <v>481</v>
      </c>
      <c r="B27" s="152" t="s">
        <v>473</v>
      </c>
      <c r="C27" s="195">
        <v>0</v>
      </c>
      <c r="D27" s="196" t="s">
        <v>483</v>
      </c>
      <c r="E27" s="152" t="s">
        <v>475</v>
      </c>
      <c r="F27" s="197">
        <v>0</v>
      </c>
      <c r="G27" s="151"/>
    </row>
    <row r="28" spans="1:7" s="152" customFormat="1" x14ac:dyDescent="0.25">
      <c r="A28" s="159" t="s">
        <v>483</v>
      </c>
      <c r="B28" s="152" t="s">
        <v>476</v>
      </c>
      <c r="C28" s="195">
        <f>'1. Bevételek_kiadások_összesen'!C72-'9. Mérleg'!C23</f>
        <v>5484033</v>
      </c>
      <c r="D28" s="196" t="s">
        <v>484</v>
      </c>
      <c r="E28" s="152" t="s">
        <v>485</v>
      </c>
      <c r="F28" s="197"/>
      <c r="G28" s="151"/>
    </row>
    <row r="29" spans="1:7" s="152" customFormat="1" x14ac:dyDescent="0.25">
      <c r="A29" s="159" t="s">
        <v>484</v>
      </c>
      <c r="B29" s="152" t="s">
        <v>486</v>
      </c>
      <c r="C29" s="195"/>
      <c r="D29" s="199"/>
      <c r="F29" s="197"/>
      <c r="G29" s="151"/>
    </row>
    <row r="30" spans="1:7" s="206" customFormat="1" x14ac:dyDescent="0.25">
      <c r="A30" s="174"/>
      <c r="B30" s="200" t="s">
        <v>487</v>
      </c>
      <c r="C30" s="201">
        <f>SUM(C22:C29)</f>
        <v>6931261</v>
      </c>
      <c r="D30" s="202"/>
      <c r="E30" s="203" t="s">
        <v>488</v>
      </c>
      <c r="F30" s="204">
        <f>SUM(F21:F28)</f>
        <v>1075151</v>
      </c>
      <c r="G30" s="205"/>
    </row>
    <row r="31" spans="1:7" s="152" customFormat="1" ht="30" customHeight="1" x14ac:dyDescent="0.25">
      <c r="A31" s="207"/>
      <c r="B31" s="208" t="s">
        <v>489</v>
      </c>
      <c r="C31" s="209">
        <f>C20+C30</f>
        <v>9772748</v>
      </c>
      <c r="D31" s="210"/>
      <c r="E31" s="208" t="s">
        <v>490</v>
      </c>
      <c r="F31" s="194">
        <f>F20+F30</f>
        <v>9772747.8350000009</v>
      </c>
      <c r="G31" s="151"/>
    </row>
    <row r="32" spans="1:7" s="152" customFormat="1" x14ac:dyDescent="0.25">
      <c r="A32" s="211"/>
      <c r="B32" s="212" t="s">
        <v>550</v>
      </c>
      <c r="C32" s="213">
        <f>C20-F20</f>
        <v>-5856109.8350000009</v>
      </c>
      <c r="D32" s="214"/>
      <c r="E32" s="215"/>
      <c r="F32" s="216"/>
      <c r="G32" s="151"/>
    </row>
    <row r="33" spans="1:7" s="152" customFormat="1" x14ac:dyDescent="0.25">
      <c r="A33" s="217"/>
      <c r="B33" s="218" t="s">
        <v>491</v>
      </c>
      <c r="C33" s="219">
        <f>C32+C30-F30</f>
        <v>0.16499999910593033</v>
      </c>
      <c r="D33" s="220"/>
      <c r="E33" s="218"/>
      <c r="F33" s="221"/>
      <c r="G33" s="151"/>
    </row>
    <row r="34" spans="1:7" ht="20.100000000000001" customHeight="1" x14ac:dyDescent="0.3">
      <c r="A34" s="159"/>
      <c r="B34" s="142" t="s">
        <v>492</v>
      </c>
      <c r="C34" s="222">
        <f>C12/C20</f>
        <v>0.96974225115230162</v>
      </c>
      <c r="D34" s="223"/>
      <c r="E34" s="142" t="s">
        <v>493</v>
      </c>
      <c r="F34" s="224">
        <f>F12/F20</f>
        <v>0.35959206828422735</v>
      </c>
    </row>
    <row r="35" spans="1:7" ht="20.100000000000001" customHeight="1" x14ac:dyDescent="0.3">
      <c r="A35" s="225"/>
      <c r="B35" s="226" t="s">
        <v>494</v>
      </c>
      <c r="C35" s="227">
        <f>C19/C20</f>
        <v>3.0257748847698406E-2</v>
      </c>
      <c r="D35" s="228"/>
      <c r="E35" s="226" t="s">
        <v>495</v>
      </c>
      <c r="F35" s="229">
        <f>F19/F20</f>
        <v>0.64040793171577259</v>
      </c>
    </row>
    <row r="37" spans="1:7" s="144" customFormat="1" x14ac:dyDescent="0.3">
      <c r="A37" s="141"/>
      <c r="B37" s="142"/>
      <c r="C37" s="143" t="s">
        <v>496</v>
      </c>
      <c r="E37" s="142"/>
      <c r="F37" s="143"/>
      <c r="G37" s="145"/>
    </row>
  </sheetData>
  <sheetProtection selectLockedCells="1" selectUnlockedCells="1"/>
  <mergeCells count="2">
    <mergeCell ref="A1:B1"/>
    <mergeCell ref="A2:F3"/>
  </mergeCells>
  <printOptions horizontalCentered="1" verticalCentered="1"/>
  <pageMargins left="0.19652777777777777" right="0.19652777777777777" top="0.19652777777777777" bottom="0.19652777777777777" header="0.51180555555555551" footer="0.51180555555555551"/>
  <pageSetup paperSize="9" scale="84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view="pageBreakPreview" zoomScale="88" zoomScaleSheetLayoutView="88" workbookViewId="0">
      <selection activeCell="B1" sqref="B1"/>
    </sheetView>
  </sheetViews>
  <sheetFormatPr defaultRowHeight="17.25" x14ac:dyDescent="0.25"/>
  <cols>
    <col min="1" max="1" width="5.5703125" style="230" customWidth="1"/>
    <col min="2" max="2" width="56.42578125" style="231" customWidth="1"/>
    <col min="3" max="3" width="0" style="232" hidden="1" customWidth="1"/>
    <col min="4" max="4" width="16.5703125" style="233" hidden="1" customWidth="1"/>
    <col min="5" max="7" width="16.5703125" style="233" customWidth="1"/>
    <col min="8" max="16384" width="9.140625" style="230"/>
  </cols>
  <sheetData>
    <row r="1" spans="1:12" x14ac:dyDescent="0.25">
      <c r="B1" s="234" t="s">
        <v>729</v>
      </c>
    </row>
    <row r="2" spans="1:12" ht="21" customHeight="1" x14ac:dyDescent="0.25">
      <c r="A2" s="1029" t="s">
        <v>497</v>
      </c>
      <c r="B2" s="1029"/>
      <c r="C2" s="1029"/>
      <c r="D2" s="1029"/>
      <c r="E2" s="1029"/>
      <c r="F2" s="1029"/>
      <c r="G2" s="1029"/>
    </row>
    <row r="3" spans="1:12" x14ac:dyDescent="0.25">
      <c r="A3" s="1030" t="s">
        <v>498</v>
      </c>
      <c r="B3" s="1030"/>
      <c r="C3" s="1030"/>
      <c r="D3" s="1030"/>
      <c r="E3" s="1030"/>
      <c r="F3" s="1030"/>
      <c r="G3" s="1030"/>
    </row>
    <row r="4" spans="1:12" x14ac:dyDescent="0.25">
      <c r="B4" s="235"/>
      <c r="C4" s="235"/>
      <c r="D4" s="1031"/>
      <c r="E4" s="1031"/>
      <c r="F4" s="1031" t="s">
        <v>316</v>
      </c>
      <c r="G4" s="1031"/>
      <c r="I4" s="236"/>
      <c r="J4" s="236"/>
      <c r="K4" s="236"/>
      <c r="L4" s="236"/>
    </row>
    <row r="5" spans="1:12" s="237" customFormat="1" thickBot="1" x14ac:dyDescent="0.3">
      <c r="A5" s="1032" t="s">
        <v>259</v>
      </c>
      <c r="B5" s="1032"/>
      <c r="C5" s="237" t="s">
        <v>261</v>
      </c>
      <c r="D5" s="237" t="s">
        <v>260</v>
      </c>
      <c r="E5" s="237" t="s">
        <v>261</v>
      </c>
      <c r="F5" s="237" t="s">
        <v>262</v>
      </c>
      <c r="G5" s="237" t="s">
        <v>263</v>
      </c>
    </row>
    <row r="6" spans="1:12" s="238" customFormat="1" ht="26.1" customHeight="1" thickTop="1" thickBot="1" x14ac:dyDescent="0.3">
      <c r="A6" s="1033" t="s">
        <v>499</v>
      </c>
      <c r="B6" s="1034" t="s">
        <v>2</v>
      </c>
      <c r="C6" s="1035" t="s">
        <v>500</v>
      </c>
      <c r="D6" s="1026"/>
      <c r="E6" s="1026" t="s">
        <v>551</v>
      </c>
      <c r="F6" s="1026" t="s">
        <v>570</v>
      </c>
      <c r="G6" s="1028" t="s">
        <v>637</v>
      </c>
    </row>
    <row r="7" spans="1:12" s="238" customFormat="1" ht="26.1" customHeight="1" thickTop="1" thickBot="1" x14ac:dyDescent="0.3">
      <c r="A7" s="1033"/>
      <c r="B7" s="1034"/>
      <c r="C7" s="1035"/>
      <c r="D7" s="1027"/>
      <c r="E7" s="1027"/>
      <c r="F7" s="1027"/>
      <c r="G7" s="1028"/>
    </row>
    <row r="8" spans="1:12" ht="20.100000000000001" customHeight="1" thickTop="1" x14ac:dyDescent="0.25">
      <c r="A8" s="239">
        <v>1</v>
      </c>
      <c r="B8" s="240" t="s">
        <v>501</v>
      </c>
      <c r="C8" s="241"/>
      <c r="D8" s="241"/>
      <c r="E8" s="241">
        <v>18000</v>
      </c>
      <c r="F8" s="241">
        <v>18000</v>
      </c>
      <c r="G8" s="242">
        <v>18000</v>
      </c>
    </row>
    <row r="9" spans="1:12" ht="18" thickBot="1" x14ac:dyDescent="0.3"/>
    <row r="10" spans="1:12" s="250" customFormat="1" ht="26.1" customHeight="1" thickTop="1" thickBot="1" x14ac:dyDescent="0.3">
      <c r="A10" s="246"/>
      <c r="B10" s="247" t="s">
        <v>502</v>
      </c>
      <c r="C10" s="248">
        <f ca="1">SUM(C8:C22)</f>
        <v>603034</v>
      </c>
      <c r="D10" s="248">
        <f>SUM(D8:D9)</f>
        <v>0</v>
      </c>
      <c r="E10" s="248">
        <f ca="1">SUM(E8:E22)</f>
        <v>253550</v>
      </c>
      <c r="F10" s="248">
        <f ca="1">SUM(F8:F22)</f>
        <v>253550</v>
      </c>
      <c r="G10" s="249">
        <f ca="1">SUM(G8:G22)</f>
        <v>241550</v>
      </c>
    </row>
    <row r="11" spans="1:12" ht="20.100000000000001" customHeight="1" thickTop="1" x14ac:dyDescent="0.25">
      <c r="A11" s="239">
        <v>3</v>
      </c>
      <c r="B11" s="240" t="s">
        <v>357</v>
      </c>
      <c r="C11" s="241">
        <v>20000</v>
      </c>
      <c r="D11" s="241"/>
      <c r="E11" s="241">
        <v>12900</v>
      </c>
      <c r="F11" s="241">
        <v>12900</v>
      </c>
      <c r="G11" s="242">
        <v>12900</v>
      </c>
    </row>
    <row r="12" spans="1:12" ht="33" x14ac:dyDescent="0.25">
      <c r="A12" s="251">
        <v>4</v>
      </c>
      <c r="B12" s="252" t="s">
        <v>503</v>
      </c>
      <c r="C12" s="253"/>
      <c r="D12" s="253"/>
      <c r="E12" s="253">
        <v>40272</v>
      </c>
      <c r="F12" s="253">
        <v>40272</v>
      </c>
      <c r="G12" s="254">
        <v>40272</v>
      </c>
    </row>
    <row r="13" spans="1:12" ht="20.100000000000001" customHeight="1" x14ac:dyDescent="0.25">
      <c r="A13" s="251">
        <v>5</v>
      </c>
      <c r="B13" s="255" t="s">
        <v>504</v>
      </c>
      <c r="C13" s="253">
        <v>225000</v>
      </c>
      <c r="D13" s="253"/>
      <c r="E13" s="253">
        <v>98550</v>
      </c>
      <c r="F13" s="253">
        <v>98550</v>
      </c>
      <c r="G13" s="254">
        <v>98550</v>
      </c>
    </row>
    <row r="14" spans="1:12" ht="20.100000000000001" customHeight="1" x14ac:dyDescent="0.25">
      <c r="A14" s="251">
        <v>6</v>
      </c>
      <c r="B14" s="255" t="s">
        <v>505</v>
      </c>
      <c r="C14" s="253">
        <v>239000</v>
      </c>
      <c r="D14" s="253"/>
      <c r="E14" s="253">
        <v>3000</v>
      </c>
      <c r="F14" s="253">
        <v>3000</v>
      </c>
      <c r="G14" s="254">
        <v>3000</v>
      </c>
    </row>
    <row r="15" spans="1:12" ht="49.5" x14ac:dyDescent="0.25">
      <c r="A15" s="251">
        <v>7</v>
      </c>
      <c r="B15" s="252" t="s">
        <v>506</v>
      </c>
      <c r="C15" s="253"/>
      <c r="D15" s="256"/>
      <c r="E15" s="256">
        <v>30000</v>
      </c>
      <c r="F15" s="257">
        <v>30000</v>
      </c>
      <c r="G15" s="258">
        <v>30000</v>
      </c>
    </row>
    <row r="16" spans="1:12" ht="49.5" x14ac:dyDescent="0.25">
      <c r="A16" s="251">
        <v>8</v>
      </c>
      <c r="B16" s="252" t="s">
        <v>507</v>
      </c>
      <c r="C16" s="253"/>
      <c r="D16" s="257"/>
      <c r="E16" s="257">
        <v>19000</v>
      </c>
      <c r="F16" s="257">
        <v>19000</v>
      </c>
      <c r="G16" s="258">
        <v>19000</v>
      </c>
    </row>
    <row r="17" spans="1:7" ht="16.5" x14ac:dyDescent="0.25">
      <c r="A17" s="251">
        <v>9</v>
      </c>
      <c r="B17" s="252" t="s">
        <v>346</v>
      </c>
      <c r="C17" s="253"/>
      <c r="D17" s="257"/>
      <c r="E17" s="257">
        <v>59000</v>
      </c>
      <c r="F17" s="257">
        <v>59000</v>
      </c>
      <c r="G17" s="258">
        <v>59000</v>
      </c>
    </row>
    <row r="18" spans="1:7" ht="20.100000000000001" customHeight="1" x14ac:dyDescent="0.25">
      <c r="A18" s="251">
        <v>10</v>
      </c>
      <c r="B18" s="255" t="s">
        <v>708</v>
      </c>
      <c r="C18" s="253">
        <v>80000</v>
      </c>
      <c r="D18" s="253"/>
      <c r="E18" s="253">
        <v>19000</v>
      </c>
      <c r="F18" s="253">
        <v>19000</v>
      </c>
      <c r="G18" s="254">
        <v>19000</v>
      </c>
    </row>
    <row r="19" spans="1:7" ht="20.100000000000001" customHeight="1" x14ac:dyDescent="0.25">
      <c r="A19" s="251">
        <v>11</v>
      </c>
      <c r="B19" s="255" t="s">
        <v>508</v>
      </c>
      <c r="C19" s="253">
        <v>20000</v>
      </c>
      <c r="D19" s="253"/>
      <c r="E19" s="253">
        <v>3000</v>
      </c>
      <c r="F19" s="253">
        <v>3000</v>
      </c>
      <c r="G19" s="254">
        <v>3000</v>
      </c>
    </row>
    <row r="20" spans="1:7" ht="20.100000000000001" customHeight="1" x14ac:dyDescent="0.25">
      <c r="A20" s="243">
        <v>12</v>
      </c>
      <c r="B20" s="255" t="s">
        <v>509</v>
      </c>
      <c r="C20" s="253">
        <v>3409</v>
      </c>
      <c r="D20" s="253"/>
      <c r="E20" s="253">
        <v>1494</v>
      </c>
      <c r="F20" s="253">
        <v>1494</v>
      </c>
      <c r="G20" s="254">
        <v>1494</v>
      </c>
    </row>
    <row r="21" spans="1:7" ht="20.100000000000001" customHeight="1" x14ac:dyDescent="0.25">
      <c r="A21" s="243">
        <v>13</v>
      </c>
      <c r="B21" s="916" t="s">
        <v>709</v>
      </c>
      <c r="C21" s="245"/>
      <c r="D21" s="245"/>
      <c r="E21" s="917" t="s">
        <v>577</v>
      </c>
      <c r="F21" s="245">
        <v>1905</v>
      </c>
      <c r="G21" s="636" t="s">
        <v>577</v>
      </c>
    </row>
    <row r="22" spans="1:7" ht="20.100000000000001" customHeight="1" thickBot="1" x14ac:dyDescent="0.3">
      <c r="A22" s="243"/>
      <c r="B22" s="244"/>
      <c r="C22" s="245"/>
      <c r="D22" s="245"/>
      <c r="E22" s="245"/>
      <c r="F22" s="245"/>
      <c r="G22" s="636"/>
    </row>
    <row r="23" spans="1:7" s="263" customFormat="1" ht="26.1" customHeight="1" thickTop="1" thickBot="1" x14ac:dyDescent="0.3">
      <c r="A23" s="259"/>
      <c r="B23" s="260" t="s">
        <v>510</v>
      </c>
      <c r="C23" s="261">
        <f>SUM(C11:C21)</f>
        <v>587409</v>
      </c>
      <c r="D23" s="262">
        <f>SUM(D11:D22)</f>
        <v>0</v>
      </c>
      <c r="E23" s="262">
        <f>SUM(E11:E22)</f>
        <v>286216</v>
      </c>
      <c r="F23" s="262">
        <f>SUM(F11:F22)</f>
        <v>288121</v>
      </c>
      <c r="G23" s="262">
        <f>SUM(G11:G22)</f>
        <v>286216</v>
      </c>
    </row>
    <row r="24" spans="1:7" s="250" customFormat="1" ht="26.1" customHeight="1" thickTop="1" thickBot="1" x14ac:dyDescent="0.3">
      <c r="A24" s="259"/>
      <c r="B24" s="247" t="s">
        <v>315</v>
      </c>
      <c r="C24" s="248">
        <f ca="1">SUM(C23,C10)</f>
        <v>603034</v>
      </c>
      <c r="D24" s="264">
        <f>SUM(D23,D10)</f>
        <v>0</v>
      </c>
      <c r="E24" s="264">
        <f ca="1">SUM(E23,E10)</f>
        <v>485100</v>
      </c>
      <c r="F24" s="265">
        <f ca="1">SUM(F23,F10)</f>
        <v>248550</v>
      </c>
      <c r="G24" s="266">
        <f ca="1">SUM(G23,G10)</f>
        <v>236550</v>
      </c>
    </row>
    <row r="25" spans="1:7" ht="18" thickTop="1" x14ac:dyDescent="0.25"/>
  </sheetData>
  <sheetProtection selectLockedCells="1" selectUnlockedCells="1"/>
  <mergeCells count="12">
    <mergeCell ref="D6:D7"/>
    <mergeCell ref="E6:E7"/>
    <mergeCell ref="F6:F7"/>
    <mergeCell ref="G6:G7"/>
    <mergeCell ref="A2:G2"/>
    <mergeCell ref="A3:G3"/>
    <mergeCell ref="D4:E4"/>
    <mergeCell ref="F4:G4"/>
    <mergeCell ref="A5:B5"/>
    <mergeCell ref="A6:A7"/>
    <mergeCell ref="B6:B7"/>
    <mergeCell ref="C6:C7"/>
  </mergeCells>
  <printOptions horizontalCentered="1"/>
  <pageMargins left="0.70833333333333337" right="0.70833333333333337" top="0.74791666666666667" bottom="0.74791666666666667" header="0.51180555555555551" footer="0.51180555555555551"/>
  <pageSetup paperSize="9" scale="78" firstPageNumber="0" fitToHeight="4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zoomScaleNormal="100" zoomScaleSheetLayoutView="100" workbookViewId="0">
      <selection activeCell="B1" sqref="B1"/>
    </sheetView>
  </sheetViews>
  <sheetFormatPr defaultRowHeight="15" x14ac:dyDescent="0.25"/>
  <cols>
    <col min="1" max="1" width="5.42578125" customWidth="1"/>
    <col min="2" max="2" width="73.42578125" customWidth="1"/>
    <col min="3" max="3" width="13.7109375" bestFit="1" customWidth="1"/>
  </cols>
  <sheetData>
    <row r="1" spans="1:4" s="117" customFormat="1" ht="14.25" x14ac:dyDescent="0.3">
      <c r="B1" s="117" t="s">
        <v>730</v>
      </c>
    </row>
    <row r="2" spans="1:4" ht="18.75" x14ac:dyDescent="0.35">
      <c r="A2" s="1039" t="s">
        <v>420</v>
      </c>
      <c r="B2" s="1039"/>
      <c r="C2" s="1039"/>
      <c r="D2" s="1039"/>
    </row>
    <row r="3" spans="1:4" ht="18.75" x14ac:dyDescent="0.25">
      <c r="A3" s="1040" t="s">
        <v>638</v>
      </c>
      <c r="B3" s="1040"/>
      <c r="C3" s="1040"/>
      <c r="D3" s="1040"/>
    </row>
    <row r="4" spans="1:4" ht="17.25" x14ac:dyDescent="0.25">
      <c r="A4" s="1041" t="s">
        <v>511</v>
      </c>
      <c r="B4" s="1041"/>
      <c r="C4" s="1041"/>
      <c r="D4" s="1041"/>
    </row>
    <row r="5" spans="1:4" ht="17.25" x14ac:dyDescent="0.3">
      <c r="A5" s="267"/>
      <c r="B5" s="267"/>
      <c r="C5" s="1042" t="s">
        <v>422</v>
      </c>
      <c r="D5" s="1042"/>
    </row>
    <row r="6" spans="1:4" ht="18.75" thickBot="1" x14ac:dyDescent="0.4">
      <c r="A6" s="1043" t="s">
        <v>259</v>
      </c>
      <c r="B6" s="1043"/>
      <c r="C6" s="1044" t="s">
        <v>260</v>
      </c>
      <c r="D6" s="1044"/>
    </row>
    <row r="7" spans="1:4" ht="18.75" customHeight="1" thickBot="1" x14ac:dyDescent="0.3">
      <c r="A7" s="1036" t="s">
        <v>512</v>
      </c>
      <c r="B7" s="1036"/>
      <c r="C7" s="1037" t="s">
        <v>513</v>
      </c>
      <c r="D7" s="1037"/>
    </row>
    <row r="8" spans="1:4" ht="16.5" x14ac:dyDescent="0.3">
      <c r="A8" s="268" t="s">
        <v>3</v>
      </c>
      <c r="B8" s="269" t="s">
        <v>514</v>
      </c>
      <c r="C8" s="279"/>
      <c r="D8" s="270"/>
    </row>
    <row r="9" spans="1:4" ht="16.5" x14ac:dyDescent="0.3">
      <c r="A9" s="271"/>
      <c r="B9" s="272" t="s">
        <v>515</v>
      </c>
      <c r="C9" s="279">
        <v>0</v>
      </c>
      <c r="D9" s="273"/>
    </row>
    <row r="10" spans="1:4" ht="16.5" x14ac:dyDescent="0.3">
      <c r="A10" s="271"/>
      <c r="B10" s="272" t="s">
        <v>297</v>
      </c>
      <c r="C10" s="279">
        <v>335832</v>
      </c>
      <c r="D10" s="273"/>
    </row>
    <row r="11" spans="1:4" ht="16.5" x14ac:dyDescent="0.3">
      <c r="A11" s="271"/>
      <c r="B11" s="272" t="s">
        <v>298</v>
      </c>
      <c r="C11" s="279">
        <v>18837</v>
      </c>
      <c r="D11" s="273"/>
    </row>
    <row r="12" spans="1:4" ht="16.5" x14ac:dyDescent="0.3">
      <c r="A12" s="271"/>
      <c r="B12" s="272" t="s">
        <v>516</v>
      </c>
      <c r="C12" s="279">
        <v>0</v>
      </c>
      <c r="D12" s="273"/>
    </row>
    <row r="13" spans="1:4" ht="16.5" x14ac:dyDescent="0.3">
      <c r="A13" s="271"/>
      <c r="B13" s="272" t="s">
        <v>65</v>
      </c>
      <c r="C13" s="279">
        <v>5812</v>
      </c>
      <c r="D13" s="273"/>
    </row>
    <row r="14" spans="1:4" ht="16.5" x14ac:dyDescent="0.25">
      <c r="A14" s="271"/>
      <c r="B14" s="274"/>
      <c r="C14" s="637">
        <f>SUM(C9:C13)</f>
        <v>360481</v>
      </c>
      <c r="D14" s="275"/>
    </row>
    <row r="15" spans="1:4" ht="33" x14ac:dyDescent="0.25">
      <c r="A15" s="276" t="s">
        <v>5</v>
      </c>
      <c r="B15" s="277" t="s">
        <v>517</v>
      </c>
      <c r="C15" s="279"/>
      <c r="D15" s="278"/>
    </row>
    <row r="16" spans="1:4" ht="33" x14ac:dyDescent="0.25">
      <c r="A16" s="276" t="s">
        <v>7</v>
      </c>
      <c r="B16" s="277" t="s">
        <v>518</v>
      </c>
      <c r="C16" s="279"/>
      <c r="D16" s="278"/>
    </row>
    <row r="17" spans="1:4" ht="33" x14ac:dyDescent="0.25">
      <c r="A17" s="276" t="s">
        <v>9</v>
      </c>
      <c r="B17" s="277" t="s">
        <v>519</v>
      </c>
      <c r="C17" s="279"/>
      <c r="D17" s="278"/>
    </row>
    <row r="18" spans="1:4" ht="17.25" thickBot="1" x14ac:dyDescent="0.3">
      <c r="A18" s="276" t="s">
        <v>11</v>
      </c>
      <c r="B18" s="277" t="s">
        <v>520</v>
      </c>
      <c r="C18" s="279">
        <v>0</v>
      </c>
      <c r="D18" s="278"/>
    </row>
    <row r="19" spans="1:4" ht="18" thickBot="1" x14ac:dyDescent="0.3">
      <c r="A19" s="1038" t="s">
        <v>434</v>
      </c>
      <c r="B19" s="1038"/>
      <c r="C19" s="280">
        <f>SUM(C14:C18)</f>
        <v>360481</v>
      </c>
      <c r="D19" s="281"/>
    </row>
  </sheetData>
  <sheetProtection selectLockedCells="1" selectUnlockedCells="1"/>
  <mergeCells count="9">
    <mergeCell ref="A7:B7"/>
    <mergeCell ref="C7:D7"/>
    <mergeCell ref="A19:B19"/>
    <mergeCell ref="A2:D2"/>
    <mergeCell ref="A3:D3"/>
    <mergeCell ref="A4:D4"/>
    <mergeCell ref="C5:D5"/>
    <mergeCell ref="A6:B6"/>
    <mergeCell ref="C6:D6"/>
  </mergeCells>
  <pageMargins left="0.7" right="0.7" top="0.75" bottom="0.75" header="0.51180555555555551" footer="0.51180555555555551"/>
  <pageSetup paperSize="9" scale="86" firstPageNumber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workbookViewId="0">
      <selection activeCell="B1" sqref="B1"/>
    </sheetView>
  </sheetViews>
  <sheetFormatPr defaultColWidth="8" defaultRowHeight="15" x14ac:dyDescent="0.3"/>
  <cols>
    <col min="1" max="1" width="3.42578125" style="282" customWidth="1"/>
    <col min="2" max="2" width="34.85546875" style="283" customWidth="1"/>
    <col min="3" max="3" width="14.42578125" style="282" customWidth="1"/>
    <col min="4" max="4" width="13.5703125" style="282" customWidth="1"/>
    <col min="5" max="5" width="15.140625" style="282" customWidth="1"/>
    <col min="6" max="6" width="13.42578125" style="282" customWidth="1"/>
    <col min="7" max="7" width="9.85546875" style="282" customWidth="1"/>
    <col min="8" max="9" width="13.42578125" style="282" customWidth="1"/>
    <col min="10" max="10" width="11.42578125" style="282" customWidth="1"/>
    <col min="11" max="11" width="10.5703125" style="282" customWidth="1"/>
    <col min="12" max="12" width="9.85546875" style="282" customWidth="1"/>
    <col min="13" max="17" width="10.5703125" style="282" customWidth="1"/>
    <col min="18" max="16384" width="8" style="284"/>
  </cols>
  <sheetData>
    <row r="1" spans="1:17" s="287" customFormat="1" ht="14.25" x14ac:dyDescent="0.3">
      <c r="A1" s="285"/>
      <c r="B1" s="286" t="s">
        <v>731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17" s="288" customFormat="1" ht="42.6" customHeight="1" x14ac:dyDescent="0.25">
      <c r="A2" s="1045" t="s">
        <v>521</v>
      </c>
      <c r="B2" s="1045"/>
      <c r="C2" s="1045"/>
      <c r="D2" s="1045"/>
      <c r="E2" s="1045"/>
      <c r="F2" s="1045"/>
      <c r="G2" s="1045"/>
      <c r="H2" s="1045"/>
      <c r="I2" s="1045"/>
      <c r="J2" s="1045"/>
      <c r="K2" s="1045"/>
      <c r="L2" s="1045"/>
      <c r="M2" s="1045"/>
      <c r="N2" s="1045"/>
      <c r="O2" s="1045"/>
      <c r="P2" s="1045"/>
      <c r="Q2" s="1045"/>
    </row>
    <row r="3" spans="1:17" ht="17.25" x14ac:dyDescent="0.2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90" t="s">
        <v>316</v>
      </c>
    </row>
    <row r="4" spans="1:17" s="292" customFormat="1" x14ac:dyDescent="0.3">
      <c r="A4" s="1046" t="s">
        <v>259</v>
      </c>
      <c r="B4" s="1046"/>
      <c r="C4" s="291" t="s">
        <v>260</v>
      </c>
      <c r="D4" s="291" t="s">
        <v>261</v>
      </c>
      <c r="E4" s="291" t="s">
        <v>262</v>
      </c>
      <c r="F4" s="291" t="s">
        <v>263</v>
      </c>
      <c r="G4" s="291" t="s">
        <v>264</v>
      </c>
      <c r="H4" s="291" t="s">
        <v>265</v>
      </c>
      <c r="I4" s="291" t="s">
        <v>266</v>
      </c>
      <c r="J4" s="291" t="s">
        <v>267</v>
      </c>
      <c r="K4" s="291" t="s">
        <v>268</v>
      </c>
      <c r="L4" s="291" t="s">
        <v>269</v>
      </c>
      <c r="M4" s="291" t="s">
        <v>270</v>
      </c>
      <c r="N4" s="291" t="s">
        <v>271</v>
      </c>
      <c r="O4" s="291" t="s">
        <v>272</v>
      </c>
      <c r="P4" s="291" t="s">
        <v>273</v>
      </c>
      <c r="Q4" s="291" t="s">
        <v>274</v>
      </c>
    </row>
    <row r="5" spans="1:17" s="294" customFormat="1" ht="75.75" customHeight="1" x14ac:dyDescent="0.25">
      <c r="A5" s="1047" t="s">
        <v>522</v>
      </c>
      <c r="B5" s="1047"/>
      <c r="C5" s="293" t="s">
        <v>523</v>
      </c>
      <c r="D5" s="293" t="s">
        <v>524</v>
      </c>
      <c r="E5" s="293" t="s">
        <v>525</v>
      </c>
      <c r="F5" s="293" t="s">
        <v>526</v>
      </c>
      <c r="G5" s="293" t="s">
        <v>647</v>
      </c>
      <c r="H5" s="293" t="s">
        <v>639</v>
      </c>
      <c r="I5" s="293" t="s">
        <v>640</v>
      </c>
      <c r="J5" s="293" t="s">
        <v>646</v>
      </c>
      <c r="K5" s="293" t="s">
        <v>641</v>
      </c>
      <c r="L5" s="293" t="s">
        <v>642</v>
      </c>
      <c r="M5" s="293" t="s">
        <v>642</v>
      </c>
      <c r="N5" s="293" t="s">
        <v>642</v>
      </c>
      <c r="O5" s="293" t="s">
        <v>641</v>
      </c>
      <c r="P5" s="293" t="s">
        <v>641</v>
      </c>
      <c r="Q5" s="293" t="s">
        <v>641</v>
      </c>
    </row>
    <row r="6" spans="1:17" ht="30" customHeight="1" x14ac:dyDescent="0.2">
      <c r="A6" s="295">
        <v>1</v>
      </c>
      <c r="B6" s="296" t="s">
        <v>527</v>
      </c>
      <c r="C6" s="295"/>
      <c r="D6" s="297"/>
      <c r="E6" s="297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</row>
    <row r="7" spans="1:17" ht="30" customHeight="1" x14ac:dyDescent="0.2">
      <c r="A7" s="299">
        <v>2</v>
      </c>
      <c r="B7" s="300" t="s">
        <v>528</v>
      </c>
      <c r="C7" s="299"/>
      <c r="D7" s="301"/>
      <c r="E7" s="301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</row>
    <row r="8" spans="1:17" s="288" customFormat="1" ht="30" customHeight="1" x14ac:dyDescent="0.25">
      <c r="A8" s="303" t="s">
        <v>529</v>
      </c>
      <c r="B8" s="1048" t="s">
        <v>530</v>
      </c>
      <c r="C8" s="1048"/>
      <c r="D8" s="1048"/>
      <c r="E8" s="1048"/>
      <c r="F8" s="1048"/>
      <c r="G8" s="304">
        <f t="shared" ref="G8:Q8" si="0">SUM(G6:G7)</f>
        <v>0</v>
      </c>
      <c r="H8" s="304">
        <f t="shared" si="0"/>
        <v>0</v>
      </c>
      <c r="I8" s="304">
        <f t="shared" si="0"/>
        <v>0</v>
      </c>
      <c r="J8" s="304">
        <f t="shared" si="0"/>
        <v>0</v>
      </c>
      <c r="K8" s="304">
        <f t="shared" si="0"/>
        <v>0</v>
      </c>
      <c r="L8" s="304">
        <f t="shared" si="0"/>
        <v>0</v>
      </c>
      <c r="M8" s="304">
        <f t="shared" si="0"/>
        <v>0</v>
      </c>
      <c r="N8" s="304">
        <f t="shared" si="0"/>
        <v>0</v>
      </c>
      <c r="O8" s="304">
        <f t="shared" si="0"/>
        <v>0</v>
      </c>
      <c r="P8" s="304">
        <f t="shared" si="0"/>
        <v>0</v>
      </c>
      <c r="Q8" s="304">
        <f t="shared" si="0"/>
        <v>0</v>
      </c>
    </row>
  </sheetData>
  <sheetProtection selectLockedCells="1" selectUnlockedCells="1"/>
  <mergeCells count="4">
    <mergeCell ref="A2:Q2"/>
    <mergeCell ref="A4:B4"/>
    <mergeCell ref="A5:B5"/>
    <mergeCell ref="B8:F8"/>
  </mergeCells>
  <printOptions horizontalCentered="1"/>
  <pageMargins left="0.39374999999999999" right="0.39374999999999999" top="0.98402777777777772" bottom="0.98402777777777772" header="0.51180555555555551" footer="0.51180555555555551"/>
  <pageSetup paperSize="9" scale="64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view="pageBreakPreview" workbookViewId="0">
      <selection activeCell="B1" sqref="B1"/>
    </sheetView>
  </sheetViews>
  <sheetFormatPr defaultRowHeight="16.5" x14ac:dyDescent="0.3"/>
  <cols>
    <col min="1" max="1" width="5.5703125" style="658" customWidth="1"/>
    <col min="2" max="2" width="50.7109375" style="658" customWidth="1"/>
    <col min="3" max="3" width="15.5703125" style="658" customWidth="1"/>
    <col min="4" max="6" width="14" style="658" customWidth="1"/>
    <col min="7" max="7" width="15.42578125" style="658" customWidth="1"/>
    <col min="8" max="16384" width="9.140625" style="639"/>
  </cols>
  <sheetData>
    <row r="1" spans="1:7" ht="18" x14ac:dyDescent="0.35">
      <c r="A1" s="656"/>
      <c r="B1" s="657" t="s">
        <v>732</v>
      </c>
      <c r="C1" s="285"/>
    </row>
    <row r="2" spans="1:7" s="117" customFormat="1" ht="14.25" x14ac:dyDescent="0.3">
      <c r="A2" s="306"/>
      <c r="B2" s="306"/>
      <c r="C2" s="306"/>
      <c r="D2" s="306"/>
      <c r="E2" s="306"/>
      <c r="F2" s="306"/>
      <c r="G2" s="306"/>
    </row>
    <row r="3" spans="1:7" s="117" customFormat="1" ht="14.25" x14ac:dyDescent="0.3">
      <c r="A3" s="306"/>
      <c r="B3" s="306"/>
      <c r="C3" s="306"/>
      <c r="D3" s="306"/>
      <c r="E3" s="306"/>
      <c r="F3" s="306"/>
      <c r="G3" s="306"/>
    </row>
    <row r="4" spans="1:7" ht="36" customHeight="1" x14ac:dyDescent="0.3">
      <c r="A4" s="1056" t="s">
        <v>602</v>
      </c>
      <c r="B4" s="1056"/>
      <c r="C4" s="1056"/>
      <c r="D4" s="1056"/>
      <c r="E4" s="1056"/>
      <c r="F4" s="1056"/>
      <c r="G4" s="1056"/>
    </row>
    <row r="5" spans="1:7" ht="18" thickBot="1" x14ac:dyDescent="0.35">
      <c r="A5" s="307"/>
      <c r="B5" s="307"/>
      <c r="C5" s="1057"/>
      <c r="D5" s="1057"/>
      <c r="E5" s="638"/>
      <c r="F5" s="1058" t="s">
        <v>603</v>
      </c>
      <c r="G5" s="1058"/>
    </row>
    <row r="6" spans="1:7" ht="15" customHeight="1" thickBot="1" x14ac:dyDescent="0.35">
      <c r="A6" s="1049" t="s">
        <v>532</v>
      </c>
      <c r="B6" s="1051" t="s">
        <v>533</v>
      </c>
      <c r="C6" s="1053" t="s">
        <v>534</v>
      </c>
      <c r="D6" s="1053"/>
      <c r="E6" s="1053"/>
      <c r="F6" s="1053"/>
      <c r="G6" s="1054" t="s">
        <v>604</v>
      </c>
    </row>
    <row r="7" spans="1:7" ht="17.25" thickBot="1" x14ac:dyDescent="0.35">
      <c r="A7" s="1050"/>
      <c r="B7" s="1052"/>
      <c r="C7" s="659" t="s">
        <v>581</v>
      </c>
      <c r="D7" s="659" t="s">
        <v>623</v>
      </c>
      <c r="E7" s="659" t="s">
        <v>624</v>
      </c>
      <c r="F7" s="659" t="s">
        <v>643</v>
      </c>
      <c r="G7" s="1055"/>
    </row>
    <row r="8" spans="1:7" ht="17.25" thickBot="1" x14ac:dyDescent="0.35">
      <c r="A8" s="660">
        <v>1</v>
      </c>
      <c r="B8" s="661">
        <v>2</v>
      </c>
      <c r="C8" s="661">
        <v>3</v>
      </c>
      <c r="D8" s="661">
        <v>4</v>
      </c>
      <c r="E8" s="661">
        <v>5</v>
      </c>
      <c r="F8" s="661">
        <v>6</v>
      </c>
      <c r="G8" s="662">
        <v>7</v>
      </c>
    </row>
    <row r="9" spans="1:7" x14ac:dyDescent="0.3">
      <c r="A9" s="663"/>
      <c r="B9" s="664" t="s">
        <v>537</v>
      </c>
      <c r="C9" s="665"/>
      <c r="D9" s="665"/>
      <c r="E9" s="665"/>
      <c r="F9" s="665"/>
      <c r="G9" s="666">
        <f>SUM(C9:F9)</f>
        <v>0</v>
      </c>
    </row>
    <row r="10" spans="1:7" x14ac:dyDescent="0.3">
      <c r="A10" s="663"/>
      <c r="B10" s="667" t="s">
        <v>78</v>
      </c>
      <c r="C10" s="668"/>
      <c r="D10" s="668"/>
      <c r="E10" s="668"/>
      <c r="F10" s="668"/>
      <c r="G10" s="669">
        <f>SUM(C10:F10)</f>
        <v>0</v>
      </c>
    </row>
    <row r="11" spans="1:7" x14ac:dyDescent="0.3">
      <c r="A11" s="663"/>
      <c r="B11" s="667" t="s">
        <v>605</v>
      </c>
      <c r="C11" s="668"/>
      <c r="D11" s="668"/>
      <c r="E11" s="668"/>
      <c r="F11" s="668"/>
      <c r="G11" s="669">
        <f>SUM(C11:F11)</f>
        <v>0</v>
      </c>
    </row>
    <row r="12" spans="1:7" x14ac:dyDescent="0.3">
      <c r="A12" s="663"/>
      <c r="B12" s="667" t="s">
        <v>606</v>
      </c>
      <c r="C12" s="668"/>
      <c r="D12" s="668"/>
      <c r="E12" s="668"/>
      <c r="F12" s="668"/>
      <c r="G12" s="669">
        <f>SUM(C12:F12)</f>
        <v>0</v>
      </c>
    </row>
    <row r="13" spans="1:7" x14ac:dyDescent="0.3">
      <c r="A13" s="663"/>
      <c r="B13" s="670" t="s">
        <v>607</v>
      </c>
      <c r="C13" s="671"/>
      <c r="D13" s="671"/>
      <c r="E13" s="671"/>
      <c r="F13" s="671"/>
      <c r="G13" s="672"/>
    </row>
    <row r="14" spans="1:7" x14ac:dyDescent="0.3">
      <c r="A14" s="663"/>
      <c r="B14" s="670" t="s">
        <v>608</v>
      </c>
      <c r="C14" s="671"/>
      <c r="D14" s="671"/>
      <c r="E14" s="671"/>
      <c r="F14" s="671"/>
      <c r="G14" s="672"/>
    </row>
    <row r="15" spans="1:7" ht="17.25" thickBot="1" x14ac:dyDescent="0.35">
      <c r="A15" s="663"/>
      <c r="B15" s="670" t="s">
        <v>609</v>
      </c>
      <c r="C15" s="671"/>
      <c r="D15" s="671"/>
      <c r="E15" s="671"/>
      <c r="F15" s="671"/>
      <c r="G15" s="672"/>
    </row>
    <row r="16" spans="1:7" ht="17.25" thickBot="1" x14ac:dyDescent="0.35">
      <c r="A16" s="673"/>
      <c r="B16" s="674" t="s">
        <v>610</v>
      </c>
      <c r="C16" s="675">
        <f>SUM(C9:C15)</f>
        <v>0</v>
      </c>
      <c r="D16" s="675">
        <f>SUM(D9:D15)</f>
        <v>0</v>
      </c>
      <c r="E16" s="675">
        <f>SUM(E9:E15)</f>
        <v>0</v>
      </c>
      <c r="F16" s="675">
        <f>SUM(F9:F15)</f>
        <v>0</v>
      </c>
      <c r="G16" s="676">
        <f>SUM(C16:F16)</f>
        <v>0</v>
      </c>
    </row>
    <row r="17" spans="1:7" ht="17.25" thickBot="1" x14ac:dyDescent="0.35">
      <c r="A17" s="677"/>
      <c r="B17" s="678" t="s">
        <v>611</v>
      </c>
      <c r="C17" s="679">
        <f>SUM(C16/2)</f>
        <v>0</v>
      </c>
      <c r="D17" s="679">
        <f>SUM(D16/2)</f>
        <v>0</v>
      </c>
      <c r="E17" s="679">
        <f>SUM(E16/2)</f>
        <v>0</v>
      </c>
      <c r="F17" s="679">
        <f>SUM(F16/2)</f>
        <v>0</v>
      </c>
      <c r="G17" s="680">
        <f>SUM(G16/2)</f>
        <v>0</v>
      </c>
    </row>
    <row r="18" spans="1:7" ht="17.25" thickBot="1" x14ac:dyDescent="0.35">
      <c r="A18" s="673"/>
      <c r="B18" s="674" t="s">
        <v>612</v>
      </c>
      <c r="C18" s="675"/>
      <c r="D18" s="675"/>
      <c r="E18" s="675"/>
      <c r="F18" s="675"/>
      <c r="G18" s="681"/>
    </row>
    <row r="19" spans="1:7" x14ac:dyDescent="0.3">
      <c r="A19" s="682"/>
      <c r="B19" s="683" t="s">
        <v>613</v>
      </c>
      <c r="C19" s="684"/>
      <c r="D19" s="684"/>
      <c r="E19" s="684"/>
      <c r="F19" s="684"/>
      <c r="G19" s="685"/>
    </row>
    <row r="20" spans="1:7" x14ac:dyDescent="0.3">
      <c r="A20" s="686"/>
      <c r="B20" s="683" t="s">
        <v>614</v>
      </c>
      <c r="C20" s="687"/>
      <c r="D20" s="687"/>
      <c r="E20" s="687"/>
      <c r="F20" s="687"/>
      <c r="G20" s="688"/>
    </row>
    <row r="21" spans="1:7" x14ac:dyDescent="0.3">
      <c r="A21" s="686"/>
      <c r="B21" s="683" t="s">
        <v>615</v>
      </c>
      <c r="C21" s="687"/>
      <c r="D21" s="687"/>
      <c r="E21" s="687"/>
      <c r="F21" s="687"/>
      <c r="G21" s="688"/>
    </row>
    <row r="22" spans="1:7" x14ac:dyDescent="0.3">
      <c r="A22" s="686"/>
      <c r="B22" s="683" t="s">
        <v>616</v>
      </c>
      <c r="C22" s="687"/>
      <c r="D22" s="687"/>
      <c r="E22" s="687"/>
      <c r="F22" s="687"/>
      <c r="G22" s="688"/>
    </row>
    <row r="23" spans="1:7" x14ac:dyDescent="0.3">
      <c r="A23" s="686"/>
      <c r="B23" s="683" t="s">
        <v>617</v>
      </c>
      <c r="C23" s="687"/>
      <c r="D23" s="687"/>
      <c r="E23" s="687"/>
      <c r="F23" s="687"/>
      <c r="G23" s="688"/>
    </row>
    <row r="24" spans="1:7" x14ac:dyDescent="0.3">
      <c r="A24" s="686"/>
      <c r="B24" s="683" t="s">
        <v>618</v>
      </c>
      <c r="C24" s="687"/>
      <c r="D24" s="687"/>
      <c r="E24" s="687"/>
      <c r="F24" s="687"/>
      <c r="G24" s="688"/>
    </row>
    <row r="25" spans="1:7" ht="17.25" thickBot="1" x14ac:dyDescent="0.35">
      <c r="A25" s="689"/>
      <c r="B25" s="678" t="s">
        <v>619</v>
      </c>
      <c r="C25" s="690"/>
      <c r="D25" s="690"/>
      <c r="E25" s="690"/>
      <c r="F25" s="690"/>
      <c r="G25" s="691"/>
    </row>
    <row r="26" spans="1:7" ht="17.25" thickBot="1" x14ac:dyDescent="0.35">
      <c r="A26" s="673"/>
      <c r="B26" s="674" t="s">
        <v>620</v>
      </c>
      <c r="C26" s="675"/>
      <c r="D26" s="675"/>
      <c r="E26" s="675"/>
      <c r="F26" s="675"/>
      <c r="G26" s="681"/>
    </row>
    <row r="27" spans="1:7" x14ac:dyDescent="0.3">
      <c r="A27" s="692"/>
      <c r="B27" s="693" t="s">
        <v>613</v>
      </c>
      <c r="C27" s="694"/>
      <c r="D27" s="694"/>
      <c r="E27" s="694"/>
      <c r="F27" s="694"/>
      <c r="G27" s="695"/>
    </row>
    <row r="28" spans="1:7" x14ac:dyDescent="0.3">
      <c r="A28" s="696"/>
      <c r="B28" s="697" t="s">
        <v>614</v>
      </c>
      <c r="C28" s="698"/>
      <c r="D28" s="698"/>
      <c r="E28" s="698"/>
      <c r="F28" s="698"/>
      <c r="G28" s="699"/>
    </row>
    <row r="29" spans="1:7" x14ac:dyDescent="0.3">
      <c r="A29" s="696"/>
      <c r="B29" s="697" t="s">
        <v>615</v>
      </c>
      <c r="C29" s="698"/>
      <c r="D29" s="698"/>
      <c r="E29" s="698"/>
      <c r="F29" s="698"/>
      <c r="G29" s="699"/>
    </row>
    <row r="30" spans="1:7" x14ac:dyDescent="0.3">
      <c r="A30" s="696"/>
      <c r="B30" s="697" t="s">
        <v>616</v>
      </c>
      <c r="C30" s="698"/>
      <c r="D30" s="698"/>
      <c r="E30" s="698"/>
      <c r="F30" s="698"/>
      <c r="G30" s="699"/>
    </row>
    <row r="31" spans="1:7" x14ac:dyDescent="0.3">
      <c r="A31" s="696"/>
      <c r="B31" s="697" t="s">
        <v>617</v>
      </c>
      <c r="C31" s="698"/>
      <c r="D31" s="698"/>
      <c r="E31" s="698"/>
      <c r="F31" s="698"/>
      <c r="G31" s="699"/>
    </row>
    <row r="32" spans="1:7" x14ac:dyDescent="0.3">
      <c r="A32" s="696"/>
      <c r="B32" s="697" t="s">
        <v>618</v>
      </c>
      <c r="C32" s="698"/>
      <c r="D32" s="698"/>
      <c r="E32" s="698"/>
      <c r="F32" s="698"/>
      <c r="G32" s="699">
        <f>SUM(D32:F32)</f>
        <v>0</v>
      </c>
    </row>
    <row r="33" spans="1:7" ht="17.25" thickBot="1" x14ac:dyDescent="0.35">
      <c r="A33" s="700"/>
      <c r="B33" s="701" t="s">
        <v>619</v>
      </c>
      <c r="C33" s="702"/>
      <c r="D33" s="702"/>
      <c r="E33" s="702"/>
      <c r="F33" s="702"/>
      <c r="G33" s="703"/>
    </row>
    <row r="34" spans="1:7" ht="17.25" thickBot="1" x14ac:dyDescent="0.35">
      <c r="A34" s="704"/>
      <c r="B34" s="705" t="s">
        <v>621</v>
      </c>
      <c r="C34" s="706"/>
      <c r="D34" s="706">
        <f>SUM(D32:D33)</f>
        <v>0</v>
      </c>
      <c r="E34" s="706"/>
      <c r="F34" s="706"/>
      <c r="G34" s="707">
        <f>SUM(D34:F34)</f>
        <v>0</v>
      </c>
    </row>
    <row r="35" spans="1:7" ht="17.25" thickBot="1" x14ac:dyDescent="0.35">
      <c r="A35" s="708"/>
      <c r="B35" s="709" t="s">
        <v>622</v>
      </c>
      <c r="C35" s="710">
        <f>SUM(C16-C34)</f>
        <v>0</v>
      </c>
      <c r="D35" s="710">
        <f>SUM(D16-D34)</f>
        <v>0</v>
      </c>
      <c r="E35" s="710">
        <f>SUM(E16-E34)</f>
        <v>0</v>
      </c>
      <c r="F35" s="710">
        <f>SUM(F16-F34)</f>
        <v>0</v>
      </c>
      <c r="G35" s="711">
        <f>SUM(G16-G34)</f>
        <v>0</v>
      </c>
    </row>
  </sheetData>
  <sheetProtection selectLockedCells="1" selectUnlockedCells="1"/>
  <mergeCells count="7">
    <mergeCell ref="A6:A7"/>
    <mergeCell ref="B6:B7"/>
    <mergeCell ref="C6:F6"/>
    <mergeCell ref="G6:G7"/>
    <mergeCell ref="A4:G4"/>
    <mergeCell ref="C5:D5"/>
    <mergeCell ref="F5:G5"/>
  </mergeCells>
  <pageMargins left="0.7" right="0.7" top="0.75" bottom="0.75" header="0.51180555555555551" footer="0.51180555555555551"/>
  <pageSetup paperSize="9" scale="67" firstPageNumber="0" fitToHeight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view="pageBreakPreview" workbookViewId="0">
      <selection activeCell="B1" sqref="B1"/>
    </sheetView>
  </sheetViews>
  <sheetFormatPr defaultRowHeight="15" x14ac:dyDescent="0.25"/>
  <cols>
    <col min="1" max="1" width="5.5703125" style="305" customWidth="1"/>
    <col min="2" max="2" width="68.5703125" style="305" customWidth="1"/>
    <col min="3" max="3" width="19.42578125" style="305" customWidth="1"/>
    <col min="4" max="4" width="14.28515625" customWidth="1"/>
    <col min="5" max="5" width="12.7109375" customWidth="1"/>
  </cols>
  <sheetData>
    <row r="1" spans="1:5" s="117" customFormat="1" ht="14.25" x14ac:dyDescent="0.3">
      <c r="A1" s="306"/>
      <c r="B1" s="306" t="s">
        <v>733</v>
      </c>
      <c r="C1" s="306"/>
    </row>
    <row r="2" spans="1:5" ht="43.9" customHeight="1" x14ac:dyDescent="0.25">
      <c r="A2" s="1056" t="s">
        <v>535</v>
      </c>
      <c r="B2" s="1056"/>
      <c r="C2" s="1056"/>
    </row>
    <row r="3" spans="1:5" ht="18" thickBot="1" x14ac:dyDescent="0.35">
      <c r="A3" s="307"/>
      <c r="B3" s="307"/>
      <c r="C3" s="308" t="s">
        <v>531</v>
      </c>
    </row>
    <row r="4" spans="1:5" ht="30.75" thickBot="1" x14ac:dyDescent="0.3">
      <c r="A4" s="309" t="s">
        <v>532</v>
      </c>
      <c r="B4" s="310" t="s">
        <v>536</v>
      </c>
      <c r="C4" s="8" t="s">
        <v>581</v>
      </c>
      <c r="D4" s="8" t="s">
        <v>623</v>
      </c>
      <c r="E4" s="8" t="s">
        <v>624</v>
      </c>
    </row>
    <row r="5" spans="1:5" ht="15.75" thickBot="1" x14ac:dyDescent="0.3">
      <c r="A5" s="311">
        <v>1</v>
      </c>
      <c r="B5" s="312">
        <v>2</v>
      </c>
      <c r="C5" s="313">
        <v>3</v>
      </c>
      <c r="D5" s="313">
        <v>4</v>
      </c>
      <c r="E5" s="313">
        <v>5</v>
      </c>
    </row>
    <row r="6" spans="1:5" ht="15.75" x14ac:dyDescent="0.3">
      <c r="A6" s="314" t="s">
        <v>3</v>
      </c>
      <c r="B6" s="315" t="s">
        <v>537</v>
      </c>
      <c r="C6" s="316">
        <f>'2. Önk.bev.'!G47</f>
        <v>998464</v>
      </c>
      <c r="D6" s="712"/>
      <c r="E6" s="712"/>
    </row>
    <row r="7" spans="1:5" ht="30" x14ac:dyDescent="0.3">
      <c r="A7" s="317" t="s">
        <v>5</v>
      </c>
      <c r="B7" s="318" t="s">
        <v>538</v>
      </c>
      <c r="C7" s="319">
        <f>'2. Önk.bev.'!H22+'2. Önk.bev.'!H24</f>
        <v>11952</v>
      </c>
      <c r="D7" s="713"/>
      <c r="E7" s="713"/>
    </row>
    <row r="8" spans="1:5" ht="15.75" x14ac:dyDescent="0.3">
      <c r="A8" s="317" t="s">
        <v>7</v>
      </c>
      <c r="B8" s="320" t="s">
        <v>539</v>
      </c>
      <c r="C8" s="319">
        <v>0</v>
      </c>
      <c r="D8" s="713"/>
      <c r="E8" s="713"/>
    </row>
    <row r="9" spans="1:5" ht="30" x14ac:dyDescent="0.3">
      <c r="A9" s="317" t="s">
        <v>9</v>
      </c>
      <c r="B9" s="320" t="s">
        <v>540</v>
      </c>
      <c r="C9" s="319">
        <v>0</v>
      </c>
      <c r="D9" s="713"/>
      <c r="E9" s="713"/>
    </row>
    <row r="10" spans="1:5" ht="15.75" x14ac:dyDescent="0.3">
      <c r="A10" s="317" t="s">
        <v>11</v>
      </c>
      <c r="B10" s="320" t="s">
        <v>541</v>
      </c>
      <c r="C10" s="319">
        <f>'2. Önk.bev.'!G19</f>
        <v>2914</v>
      </c>
      <c r="D10" s="713"/>
      <c r="E10" s="713"/>
    </row>
    <row r="11" spans="1:5" ht="16.5" thickBot="1" x14ac:dyDescent="0.35">
      <c r="A11" s="321" t="s">
        <v>91</v>
      </c>
      <c r="B11" s="322" t="s">
        <v>542</v>
      </c>
      <c r="C11" s="323">
        <v>0</v>
      </c>
      <c r="D11" s="715"/>
      <c r="E11" s="715"/>
    </row>
    <row r="12" spans="1:5" ht="16.5" thickBot="1" x14ac:dyDescent="0.35">
      <c r="A12" s="1059" t="s">
        <v>543</v>
      </c>
      <c r="B12" s="1059"/>
      <c r="C12" s="714">
        <f>SUM(C6:C11)</f>
        <v>1013330</v>
      </c>
      <c r="D12" s="716"/>
      <c r="E12" s="717"/>
    </row>
    <row r="13" spans="1:5" ht="36" customHeight="1" x14ac:dyDescent="0.25">
      <c r="A13" s="1060" t="s">
        <v>544</v>
      </c>
      <c r="B13" s="1060"/>
      <c r="C13" s="1060"/>
    </row>
  </sheetData>
  <sheetProtection selectLockedCells="1" selectUnlockedCells="1"/>
  <mergeCells count="3">
    <mergeCell ref="A2:C2"/>
    <mergeCell ref="A12:B12"/>
    <mergeCell ref="A13:C13"/>
  </mergeCells>
  <pageMargins left="0.7" right="0.7" top="0.75" bottom="0.75" header="0.51180555555555551" footer="0.51180555555555551"/>
  <pageSetup paperSize="9" scale="62" firstPageNumber="0" fitToHeight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view="pageBreakPreview" zoomScaleNormal="100" zoomScaleSheetLayoutView="100" workbookViewId="0">
      <selection activeCell="B1" sqref="B1"/>
    </sheetView>
  </sheetViews>
  <sheetFormatPr defaultRowHeight="15" x14ac:dyDescent="0.25"/>
  <cols>
    <col min="1" max="1" width="5.5703125" style="305" customWidth="1"/>
    <col min="2" max="2" width="66.5703125" style="305" customWidth="1"/>
    <col min="3" max="3" width="27" style="305" customWidth="1"/>
  </cols>
  <sheetData>
    <row r="1" spans="1:3" ht="15.75" x14ac:dyDescent="0.3">
      <c r="B1" s="306" t="s">
        <v>734</v>
      </c>
    </row>
    <row r="2" spans="1:3" ht="34.15" customHeight="1" x14ac:dyDescent="0.25">
      <c r="A2" s="1056" t="s">
        <v>645</v>
      </c>
      <c r="B2" s="1056"/>
      <c r="C2" s="1056"/>
    </row>
    <row r="3" spans="1:3" ht="17.25" x14ac:dyDescent="0.3">
      <c r="A3" s="307"/>
      <c r="B3" s="307"/>
      <c r="C3" s="308" t="s">
        <v>531</v>
      </c>
    </row>
    <row r="4" spans="1:3" ht="30" x14ac:dyDescent="0.25">
      <c r="A4" s="325" t="s">
        <v>532</v>
      </c>
      <c r="B4" s="326" t="s">
        <v>545</v>
      </c>
      <c r="C4" s="327" t="s">
        <v>546</v>
      </c>
    </row>
    <row r="5" spans="1:3" x14ac:dyDescent="0.25">
      <c r="A5" s="311">
        <v>1</v>
      </c>
      <c r="B5" s="312">
        <v>2</v>
      </c>
      <c r="C5" s="313">
        <v>3</v>
      </c>
    </row>
    <row r="6" spans="1:3" ht="15.75" x14ac:dyDescent="0.3">
      <c r="A6" s="328" t="s">
        <v>3</v>
      </c>
      <c r="B6" s="329"/>
      <c r="C6" s="330"/>
    </row>
    <row r="7" spans="1:3" ht="15.75" x14ac:dyDescent="0.3">
      <c r="A7" s="317" t="s">
        <v>5</v>
      </c>
      <c r="B7" s="331"/>
      <c r="C7" s="319"/>
    </row>
    <row r="8" spans="1:3" ht="15.75" x14ac:dyDescent="0.3">
      <c r="A8" s="332" t="s">
        <v>7</v>
      </c>
      <c r="B8" s="333"/>
      <c r="C8" s="334"/>
    </row>
    <row r="9" spans="1:3" ht="22.15" customHeight="1" x14ac:dyDescent="0.3">
      <c r="A9" s="335" t="s">
        <v>9</v>
      </c>
      <c r="B9" s="336" t="s">
        <v>547</v>
      </c>
      <c r="C9" s="324">
        <f>SUM(C6:C8)</f>
        <v>0</v>
      </c>
    </row>
  </sheetData>
  <sheetProtection selectLockedCells="1" selectUnlockedCells="1"/>
  <mergeCells count="1">
    <mergeCell ref="A2:C2"/>
  </mergeCells>
  <pageMargins left="0.7" right="0.7" top="0.75" bottom="0.75" header="0.51180555555555551" footer="0.51180555555555551"/>
  <pageSetup paperSize="9" scale="50" firstPageNumber="0" fitToHeight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workbookViewId="0"/>
  </sheetViews>
  <sheetFormatPr defaultRowHeight="13.5" customHeight="1" x14ac:dyDescent="0.3"/>
  <cols>
    <col min="1" max="1" width="38.140625" style="640" customWidth="1"/>
    <col min="2" max="14" width="9.140625" style="640"/>
    <col min="15" max="15" width="9.140625" style="921"/>
    <col min="16" max="16" width="0" style="918" hidden="1" customWidth="1"/>
    <col min="17" max="17" width="9.140625" style="918"/>
    <col min="18" max="16384" width="9.140625" style="640"/>
  </cols>
  <sheetData>
    <row r="1" spans="1:17" ht="13.5" customHeight="1" x14ac:dyDescent="0.3">
      <c r="A1" s="306" t="s">
        <v>735</v>
      </c>
    </row>
    <row r="2" spans="1:17" ht="24" customHeight="1" thickBot="1" x14ac:dyDescent="0.35">
      <c r="B2" s="1061" t="s">
        <v>644</v>
      </c>
      <c r="C2" s="1062"/>
      <c r="D2" s="1062"/>
      <c r="E2" s="1062"/>
      <c r="F2" s="1062"/>
      <c r="G2" s="1062"/>
      <c r="H2" s="1062"/>
      <c r="I2" s="1062"/>
      <c r="J2" s="1062"/>
      <c r="K2" s="1062"/>
      <c r="N2" s="640" t="s">
        <v>601</v>
      </c>
    </row>
    <row r="3" spans="1:17" s="641" customFormat="1" ht="13.5" customHeight="1" thickBot="1" x14ac:dyDescent="0.3">
      <c r="A3" s="643"/>
      <c r="B3" s="644" t="s">
        <v>589</v>
      </c>
      <c r="C3" s="644" t="s">
        <v>590</v>
      </c>
      <c r="D3" s="644" t="s">
        <v>591</v>
      </c>
      <c r="E3" s="644" t="s">
        <v>592</v>
      </c>
      <c r="F3" s="644" t="s">
        <v>593</v>
      </c>
      <c r="G3" s="644" t="s">
        <v>594</v>
      </c>
      <c r="H3" s="644" t="s">
        <v>595</v>
      </c>
      <c r="I3" s="644" t="s">
        <v>596</v>
      </c>
      <c r="J3" s="644" t="s">
        <v>597</v>
      </c>
      <c r="K3" s="644" t="s">
        <v>598</v>
      </c>
      <c r="L3" s="644" t="s">
        <v>599</v>
      </c>
      <c r="M3" s="644" t="s">
        <v>600</v>
      </c>
      <c r="N3" s="645" t="s">
        <v>552</v>
      </c>
      <c r="O3" s="922"/>
      <c r="P3" s="919"/>
      <c r="Q3" s="919"/>
    </row>
    <row r="4" spans="1:17" ht="13.5" customHeight="1" x14ac:dyDescent="0.3">
      <c r="A4" s="648" t="s">
        <v>283</v>
      </c>
      <c r="B4" s="761">
        <v>98150</v>
      </c>
      <c r="C4" s="761">
        <v>98150</v>
      </c>
      <c r="D4" s="761">
        <v>98150</v>
      </c>
      <c r="E4" s="761">
        <v>98150</v>
      </c>
      <c r="F4" s="761">
        <v>98150</v>
      </c>
      <c r="G4" s="761">
        <v>98150</v>
      </c>
      <c r="H4" s="761">
        <v>98150</v>
      </c>
      <c r="I4" s="761">
        <v>98151</v>
      </c>
      <c r="J4" s="761">
        <v>98151</v>
      </c>
      <c r="K4" s="761">
        <v>98151</v>
      </c>
      <c r="L4" s="761">
        <v>98151</v>
      </c>
      <c r="M4" s="761">
        <v>98151</v>
      </c>
      <c r="N4" s="762">
        <f>SUM(B4:M4)</f>
        <v>1177805</v>
      </c>
      <c r="P4" s="920">
        <f>SUM('1. Bevételek_kiadások_összesen'!C6)</f>
        <v>1177805</v>
      </c>
    </row>
    <row r="5" spans="1:17" ht="13.5" customHeight="1" x14ac:dyDescent="0.3">
      <c r="A5" s="649" t="s">
        <v>284</v>
      </c>
      <c r="B5" s="764">
        <v>23471</v>
      </c>
      <c r="C5" s="764">
        <v>23471</v>
      </c>
      <c r="D5" s="764">
        <v>23471</v>
      </c>
      <c r="E5" s="764">
        <v>23471</v>
      </c>
      <c r="F5" s="764">
        <v>23471</v>
      </c>
      <c r="G5" s="764">
        <v>23471</v>
      </c>
      <c r="H5" s="764">
        <v>23471</v>
      </c>
      <c r="I5" s="764">
        <v>23471</v>
      </c>
      <c r="J5" s="764">
        <v>23471</v>
      </c>
      <c r="K5" s="764">
        <v>23471</v>
      </c>
      <c r="L5" s="764">
        <v>23470</v>
      </c>
      <c r="M5" s="764">
        <v>23470</v>
      </c>
      <c r="N5" s="762">
        <f t="shared" ref="N5:N13" si="0">SUM(B5:M5)</f>
        <v>281650</v>
      </c>
      <c r="P5" s="918">
        <f>SUM('1. Bevételek_kiadások_összesen'!C12)</f>
        <v>281650</v>
      </c>
    </row>
    <row r="6" spans="1:17" ht="13.5" customHeight="1" x14ac:dyDescent="0.3">
      <c r="A6" s="650" t="s">
        <v>285</v>
      </c>
      <c r="B6" s="764">
        <v>83205</v>
      </c>
      <c r="C6" s="764">
        <v>83205</v>
      </c>
      <c r="D6" s="764">
        <v>83205</v>
      </c>
      <c r="E6" s="764">
        <v>83205</v>
      </c>
      <c r="F6" s="764">
        <v>83205</v>
      </c>
      <c r="G6" s="764">
        <v>83205</v>
      </c>
      <c r="H6" s="764">
        <v>83205</v>
      </c>
      <c r="I6" s="764">
        <v>83205</v>
      </c>
      <c r="J6" s="764">
        <v>83206</v>
      </c>
      <c r="K6" s="764">
        <v>83206</v>
      </c>
      <c r="L6" s="764">
        <v>83206</v>
      </c>
      <c r="M6" s="764">
        <v>83206</v>
      </c>
      <c r="N6" s="762">
        <f t="shared" si="0"/>
        <v>998464</v>
      </c>
      <c r="P6" s="918">
        <f>SUM('1. Bevételek_kiadások_összesen'!C26)</f>
        <v>998464</v>
      </c>
    </row>
    <row r="7" spans="1:17" ht="13.5" customHeight="1" x14ac:dyDescent="0.3">
      <c r="A7" s="651" t="s">
        <v>286</v>
      </c>
      <c r="B7" s="764">
        <v>24799</v>
      </c>
      <c r="C7" s="764">
        <v>24799</v>
      </c>
      <c r="D7" s="764">
        <v>24799</v>
      </c>
      <c r="E7" s="764">
        <v>24799</v>
      </c>
      <c r="F7" s="764">
        <v>24799</v>
      </c>
      <c r="G7" s="764">
        <v>24799</v>
      </c>
      <c r="H7" s="764">
        <v>24799</v>
      </c>
      <c r="I7" s="764">
        <v>24799</v>
      </c>
      <c r="J7" s="764">
        <v>24799</v>
      </c>
      <c r="K7" s="764">
        <v>24800</v>
      </c>
      <c r="L7" s="764">
        <v>24800</v>
      </c>
      <c r="M7" s="764">
        <v>24800</v>
      </c>
      <c r="N7" s="762">
        <f t="shared" si="0"/>
        <v>297591</v>
      </c>
      <c r="P7" s="918">
        <f>SUM('1. Bevételek_kiadások_összesen'!C34)</f>
        <v>297591</v>
      </c>
    </row>
    <row r="8" spans="1:17" ht="13.5" customHeight="1" x14ac:dyDescent="0.3">
      <c r="A8" s="649" t="s">
        <v>287</v>
      </c>
      <c r="B8" s="764"/>
      <c r="C8" s="764"/>
      <c r="D8" s="764"/>
      <c r="E8" s="764"/>
      <c r="F8" s="764"/>
      <c r="G8" s="764"/>
      <c r="H8" s="764"/>
      <c r="I8" s="764"/>
      <c r="J8" s="764"/>
      <c r="K8" s="764"/>
      <c r="L8" s="764"/>
      <c r="M8" s="764"/>
      <c r="N8" s="762">
        <f t="shared" si="0"/>
        <v>0</v>
      </c>
      <c r="P8" s="918">
        <f>SUM('1. Bevételek_kiadások_összesen'!C51)</f>
        <v>0</v>
      </c>
    </row>
    <row r="9" spans="1:17" ht="13.5" customHeight="1" x14ac:dyDescent="0.3">
      <c r="A9" s="649" t="s">
        <v>288</v>
      </c>
      <c r="B9" s="764"/>
      <c r="C9" s="764"/>
      <c r="D9" s="764"/>
      <c r="E9" s="764"/>
      <c r="F9" s="764"/>
      <c r="G9" s="764"/>
      <c r="H9" s="764"/>
      <c r="I9" s="764"/>
      <c r="J9" s="764"/>
      <c r="K9" s="764"/>
      <c r="L9" s="764"/>
      <c r="M9" s="764"/>
      <c r="N9" s="762">
        <f t="shared" si="0"/>
        <v>0</v>
      </c>
      <c r="P9" s="918">
        <f>SUM('1. Bevételek_kiadások_összesen'!C19)</f>
        <v>0</v>
      </c>
    </row>
    <row r="10" spans="1:17" ht="13.5" customHeight="1" x14ac:dyDescent="0.3">
      <c r="A10" s="649" t="s">
        <v>289</v>
      </c>
      <c r="B10" s="764">
        <v>7165</v>
      </c>
      <c r="C10" s="764">
        <v>7165</v>
      </c>
      <c r="D10" s="764">
        <v>7165</v>
      </c>
      <c r="E10" s="764">
        <v>7165</v>
      </c>
      <c r="F10" s="764">
        <v>7165</v>
      </c>
      <c r="G10" s="764">
        <v>7165</v>
      </c>
      <c r="H10" s="764">
        <v>7165</v>
      </c>
      <c r="I10" s="764">
        <v>7165</v>
      </c>
      <c r="J10" s="764">
        <v>7165</v>
      </c>
      <c r="K10" s="764">
        <v>7164</v>
      </c>
      <c r="L10" s="764">
        <v>7164</v>
      </c>
      <c r="M10" s="764">
        <v>7164</v>
      </c>
      <c r="N10" s="762">
        <f t="shared" si="0"/>
        <v>85977</v>
      </c>
      <c r="P10" s="918">
        <f>SUM('1. Bevételek_kiadások_összesen'!C45)</f>
        <v>85977</v>
      </c>
    </row>
    <row r="11" spans="1:17" ht="13.5" customHeight="1" x14ac:dyDescent="0.3">
      <c r="A11" s="649" t="s">
        <v>290</v>
      </c>
      <c r="B11" s="764"/>
      <c r="C11" s="764"/>
      <c r="D11" s="764"/>
      <c r="E11" s="764"/>
      <c r="F11" s="764"/>
      <c r="G11" s="764"/>
      <c r="H11" s="764"/>
      <c r="I11" s="764"/>
      <c r="J11" s="764"/>
      <c r="K11" s="764"/>
      <c r="L11" s="764"/>
      <c r="M11" s="764"/>
      <c r="N11" s="762">
        <f t="shared" si="0"/>
        <v>0</v>
      </c>
      <c r="P11" s="918">
        <f>SUM('1. Bevételek_kiadások_összesen'!C56)</f>
        <v>0</v>
      </c>
    </row>
    <row r="12" spans="1:17" ht="13.5" customHeight="1" x14ac:dyDescent="0.3">
      <c r="A12" s="649" t="s">
        <v>293</v>
      </c>
      <c r="B12" s="764">
        <v>488009</v>
      </c>
      <c r="C12" s="764">
        <v>488009</v>
      </c>
      <c r="D12" s="764">
        <v>488009</v>
      </c>
      <c r="E12" s="764">
        <v>488009</v>
      </c>
      <c r="F12" s="764">
        <v>488009</v>
      </c>
      <c r="G12" s="764">
        <v>488009</v>
      </c>
      <c r="H12" s="764">
        <v>488009</v>
      </c>
      <c r="I12" s="764">
        <v>488009</v>
      </c>
      <c r="J12" s="764">
        <v>488009</v>
      </c>
      <c r="K12" s="764">
        <v>488009</v>
      </c>
      <c r="L12" s="764">
        <v>488010</v>
      </c>
      <c r="M12" s="764">
        <v>488010</v>
      </c>
      <c r="N12" s="762">
        <f t="shared" si="0"/>
        <v>5856110</v>
      </c>
      <c r="P12" s="918">
        <f>SUM('1. Bevételek_kiadások_összesen'!C71)</f>
        <v>5856110</v>
      </c>
    </row>
    <row r="13" spans="1:17" ht="13.5" customHeight="1" thickBot="1" x14ac:dyDescent="0.35">
      <c r="A13" s="652" t="s">
        <v>294</v>
      </c>
      <c r="B13" s="765">
        <v>89596</v>
      </c>
      <c r="C13" s="765">
        <v>89596</v>
      </c>
      <c r="D13" s="765">
        <v>89596</v>
      </c>
      <c r="E13" s="765">
        <v>89596</v>
      </c>
      <c r="F13" s="765">
        <v>89597</v>
      </c>
      <c r="G13" s="765">
        <v>89598</v>
      </c>
      <c r="H13" s="765">
        <v>89597</v>
      </c>
      <c r="I13" s="765">
        <v>89596</v>
      </c>
      <c r="J13" s="765">
        <v>89594</v>
      </c>
      <c r="K13" s="765">
        <v>89595</v>
      </c>
      <c r="L13" s="765">
        <v>89595</v>
      </c>
      <c r="M13" s="765">
        <v>89595</v>
      </c>
      <c r="N13" s="762">
        <f t="shared" si="0"/>
        <v>1075151</v>
      </c>
      <c r="P13" s="918">
        <f>SUM('1. Bevételek_kiadások_összesen'!C74)</f>
        <v>1075151</v>
      </c>
    </row>
    <row r="14" spans="1:17" ht="13.5" customHeight="1" thickBot="1" x14ac:dyDescent="0.35">
      <c r="A14" s="646" t="s">
        <v>588</v>
      </c>
      <c r="B14" s="763">
        <f>SUM(B4:B13)</f>
        <v>814395</v>
      </c>
      <c r="C14" s="763">
        <f t="shared" ref="C14:N14" si="1">SUM(C4:C13)</f>
        <v>814395</v>
      </c>
      <c r="D14" s="763">
        <f t="shared" si="1"/>
        <v>814395</v>
      </c>
      <c r="E14" s="763">
        <f t="shared" si="1"/>
        <v>814395</v>
      </c>
      <c r="F14" s="763">
        <f t="shared" si="1"/>
        <v>814396</v>
      </c>
      <c r="G14" s="763">
        <f t="shared" si="1"/>
        <v>814397</v>
      </c>
      <c r="H14" s="763">
        <f t="shared" si="1"/>
        <v>814396</v>
      </c>
      <c r="I14" s="763">
        <f t="shared" si="1"/>
        <v>814396</v>
      </c>
      <c r="J14" s="763">
        <f t="shared" si="1"/>
        <v>814395</v>
      </c>
      <c r="K14" s="763">
        <f t="shared" si="1"/>
        <v>814396</v>
      </c>
      <c r="L14" s="763">
        <f t="shared" si="1"/>
        <v>814396</v>
      </c>
      <c r="M14" s="763">
        <f t="shared" si="1"/>
        <v>814396</v>
      </c>
      <c r="N14" s="763">
        <f t="shared" si="1"/>
        <v>9772748</v>
      </c>
      <c r="P14" s="920">
        <f>SUM(P4:P13)</f>
        <v>9772748</v>
      </c>
    </row>
    <row r="15" spans="1:17" ht="13.5" customHeight="1" thickBot="1" x14ac:dyDescent="0.35">
      <c r="A15" s="642"/>
      <c r="B15" s="766"/>
      <c r="C15" s="766"/>
      <c r="D15" s="766"/>
      <c r="E15" s="766"/>
      <c r="F15" s="766"/>
      <c r="G15" s="766"/>
      <c r="H15" s="766"/>
      <c r="I15" s="766"/>
      <c r="J15" s="766"/>
      <c r="K15" s="766"/>
      <c r="L15" s="766"/>
      <c r="M15" s="766"/>
      <c r="N15" s="766"/>
    </row>
    <row r="16" spans="1:17" ht="13.5" customHeight="1" x14ac:dyDescent="0.3">
      <c r="A16" s="653" t="s">
        <v>450</v>
      </c>
      <c r="B16" s="767">
        <v>87667</v>
      </c>
      <c r="C16" s="767">
        <v>87667</v>
      </c>
      <c r="D16" s="767">
        <v>87667</v>
      </c>
      <c r="E16" s="767">
        <v>87667</v>
      </c>
      <c r="F16" s="767">
        <v>87667</v>
      </c>
      <c r="G16" s="767">
        <v>87667</v>
      </c>
      <c r="H16" s="767">
        <v>87667</v>
      </c>
      <c r="I16" s="767">
        <v>87667</v>
      </c>
      <c r="J16" s="767">
        <v>87667</v>
      </c>
      <c r="K16" s="767">
        <v>87667</v>
      </c>
      <c r="L16" s="767">
        <v>87667</v>
      </c>
      <c r="M16" s="767">
        <v>87668</v>
      </c>
      <c r="N16" s="768">
        <f>SUM(B16:M16)</f>
        <v>1052005</v>
      </c>
      <c r="P16" s="920">
        <f>SUM('1. Bevételek_kiadások_összesen'!F94)</f>
        <v>1052004.8158995816</v>
      </c>
    </row>
    <row r="17" spans="1:16" ht="13.5" customHeight="1" x14ac:dyDescent="0.3">
      <c r="A17" s="654" t="s">
        <v>582</v>
      </c>
      <c r="B17" s="764">
        <v>17283</v>
      </c>
      <c r="C17" s="764">
        <v>17283</v>
      </c>
      <c r="D17" s="764">
        <v>17283</v>
      </c>
      <c r="E17" s="764">
        <v>17283</v>
      </c>
      <c r="F17" s="764">
        <v>17283</v>
      </c>
      <c r="G17" s="764">
        <v>17283</v>
      </c>
      <c r="H17" s="764">
        <v>17283</v>
      </c>
      <c r="I17" s="764">
        <v>17283</v>
      </c>
      <c r="J17" s="764">
        <v>17282</v>
      </c>
      <c r="K17" s="764">
        <v>17282</v>
      </c>
      <c r="L17" s="764">
        <v>17282</v>
      </c>
      <c r="M17" s="764">
        <v>17282</v>
      </c>
      <c r="N17" s="769">
        <f t="shared" ref="N17:N27" si="2">SUM(B17:M17)</f>
        <v>207392</v>
      </c>
      <c r="P17" s="920">
        <f>SUM('1. Bevételek_kiadások_összesen'!F95)</f>
        <v>207392.01910041843</v>
      </c>
    </row>
    <row r="18" spans="1:16" ht="13.5" customHeight="1" x14ac:dyDescent="0.3">
      <c r="A18" s="654" t="s">
        <v>452</v>
      </c>
      <c r="B18" s="764">
        <v>100288</v>
      </c>
      <c r="C18" s="764">
        <v>100288</v>
      </c>
      <c r="D18" s="764">
        <v>100288</v>
      </c>
      <c r="E18" s="764">
        <v>100288</v>
      </c>
      <c r="F18" s="764">
        <v>100288</v>
      </c>
      <c r="G18" s="764">
        <v>100288</v>
      </c>
      <c r="H18" s="764">
        <v>100288</v>
      </c>
      <c r="I18" s="764">
        <v>100287</v>
      </c>
      <c r="J18" s="764">
        <v>100287</v>
      </c>
      <c r="K18" s="764">
        <v>100287</v>
      </c>
      <c r="L18" s="764">
        <v>100287</v>
      </c>
      <c r="M18" s="764">
        <v>100287</v>
      </c>
      <c r="N18" s="769">
        <f t="shared" si="2"/>
        <v>1203451</v>
      </c>
      <c r="P18" s="920">
        <f>SUM('1. Bevételek_kiadások_összesen'!F96)</f>
        <v>1203451</v>
      </c>
    </row>
    <row r="19" spans="1:16" ht="13.5" customHeight="1" x14ac:dyDescent="0.3">
      <c r="A19" s="654" t="s">
        <v>184</v>
      </c>
      <c r="B19" s="764">
        <v>5666</v>
      </c>
      <c r="C19" s="764">
        <v>5666</v>
      </c>
      <c r="D19" s="764">
        <v>5666</v>
      </c>
      <c r="E19" s="764">
        <v>5666</v>
      </c>
      <c r="F19" s="764">
        <v>5667</v>
      </c>
      <c r="G19" s="764">
        <v>5667</v>
      </c>
      <c r="H19" s="764">
        <v>5667</v>
      </c>
      <c r="I19" s="764">
        <v>5667</v>
      </c>
      <c r="J19" s="764">
        <v>5667</v>
      </c>
      <c r="K19" s="764">
        <v>5667</v>
      </c>
      <c r="L19" s="764">
        <v>5667</v>
      </c>
      <c r="M19" s="764">
        <v>5667</v>
      </c>
      <c r="N19" s="769">
        <f t="shared" si="2"/>
        <v>68000</v>
      </c>
      <c r="P19" s="920">
        <f>SUM('1. Bevételek_kiadások_összesen'!F97)</f>
        <v>68000</v>
      </c>
    </row>
    <row r="20" spans="1:16" ht="13.5" customHeight="1" x14ac:dyDescent="0.3">
      <c r="A20" s="654" t="s">
        <v>584</v>
      </c>
      <c r="B20" s="764">
        <v>21336</v>
      </c>
      <c r="C20" s="764">
        <v>21336</v>
      </c>
      <c r="D20" s="764">
        <v>21336</v>
      </c>
      <c r="E20" s="764">
        <v>21336</v>
      </c>
      <c r="F20" s="764">
        <v>21336</v>
      </c>
      <c r="G20" s="764">
        <v>21336</v>
      </c>
      <c r="H20" s="764">
        <v>21336</v>
      </c>
      <c r="I20" s="764">
        <v>21336</v>
      </c>
      <c r="J20" s="764">
        <v>21336</v>
      </c>
      <c r="K20" s="764">
        <v>21336</v>
      </c>
      <c r="L20" s="764">
        <v>21336</v>
      </c>
      <c r="M20" s="764">
        <v>21336</v>
      </c>
      <c r="N20" s="769">
        <f t="shared" si="2"/>
        <v>256032</v>
      </c>
      <c r="P20" s="920">
        <f>SUM('1. Bevételek_kiadások_összesen'!F103)</f>
        <v>256032</v>
      </c>
    </row>
    <row r="21" spans="1:16" ht="13.5" customHeight="1" x14ac:dyDescent="0.3">
      <c r="A21" s="654" t="s">
        <v>583</v>
      </c>
      <c r="B21" s="764">
        <v>28392</v>
      </c>
      <c r="C21" s="764">
        <v>28392</v>
      </c>
      <c r="D21" s="764">
        <v>28392</v>
      </c>
      <c r="E21" s="764">
        <v>28392</v>
      </c>
      <c r="F21" s="764">
        <v>28392</v>
      </c>
      <c r="G21" s="764">
        <v>28392</v>
      </c>
      <c r="H21" s="764">
        <v>28392</v>
      </c>
      <c r="I21" s="764">
        <v>28392</v>
      </c>
      <c r="J21" s="764">
        <v>28392</v>
      </c>
      <c r="K21" s="764">
        <v>28393</v>
      </c>
      <c r="L21" s="764">
        <v>28393</v>
      </c>
      <c r="M21" s="764">
        <v>28393</v>
      </c>
      <c r="N21" s="769">
        <f t="shared" si="2"/>
        <v>340707</v>
      </c>
      <c r="P21" s="920">
        <f>SUM('1. Bevételek_kiadások_összesen'!F108)</f>
        <v>340707</v>
      </c>
    </row>
    <row r="22" spans="1:16" ht="13.5" customHeight="1" x14ac:dyDescent="0.3">
      <c r="A22" s="654" t="s">
        <v>208</v>
      </c>
      <c r="B22" s="764">
        <v>234892</v>
      </c>
      <c r="C22" s="764">
        <v>234892</v>
      </c>
      <c r="D22" s="764">
        <v>234892</v>
      </c>
      <c r="E22" s="764">
        <v>234892</v>
      </c>
      <c r="F22" s="764">
        <v>234892</v>
      </c>
      <c r="G22" s="764">
        <v>234892</v>
      </c>
      <c r="H22" s="764">
        <v>234891</v>
      </c>
      <c r="I22" s="764">
        <v>234891</v>
      </c>
      <c r="J22" s="764">
        <v>234891</v>
      </c>
      <c r="K22" s="764">
        <v>234891</v>
      </c>
      <c r="L22" s="764">
        <v>234891</v>
      </c>
      <c r="M22" s="764">
        <v>234891</v>
      </c>
      <c r="N22" s="769">
        <f t="shared" si="2"/>
        <v>2818698</v>
      </c>
      <c r="P22" s="920">
        <f>SUM('1. Bevételek_kiadások_összesen'!F110)</f>
        <v>2818698</v>
      </c>
    </row>
    <row r="23" spans="1:16" ht="13.5" customHeight="1" x14ac:dyDescent="0.3">
      <c r="A23" s="654" t="s">
        <v>210</v>
      </c>
      <c r="B23" s="764">
        <v>196520</v>
      </c>
      <c r="C23" s="764">
        <v>196520</v>
      </c>
      <c r="D23" s="764">
        <v>196520</v>
      </c>
      <c r="E23" s="764">
        <v>196520</v>
      </c>
      <c r="F23" s="764">
        <v>196520</v>
      </c>
      <c r="G23" s="764">
        <v>196521</v>
      </c>
      <c r="H23" s="764">
        <v>196521</v>
      </c>
      <c r="I23" s="764">
        <v>196521</v>
      </c>
      <c r="J23" s="764">
        <v>196521</v>
      </c>
      <c r="K23" s="764">
        <v>196521</v>
      </c>
      <c r="L23" s="764">
        <v>196521</v>
      </c>
      <c r="M23" s="764">
        <v>196521</v>
      </c>
      <c r="N23" s="769">
        <f t="shared" si="2"/>
        <v>2358247</v>
      </c>
      <c r="P23" s="920">
        <f>SUM('1. Bevételek_kiadások_összesen'!F112)</f>
        <v>2358247</v>
      </c>
    </row>
    <row r="24" spans="1:16" ht="13.5" customHeight="1" x14ac:dyDescent="0.3">
      <c r="A24" s="654" t="s">
        <v>585</v>
      </c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9">
        <f t="shared" si="2"/>
        <v>0</v>
      </c>
      <c r="P24" s="920">
        <f>SUM('1. Bevételek_kiadások_összesen'!F114)</f>
        <v>0</v>
      </c>
    </row>
    <row r="25" spans="1:16" ht="13.5" customHeight="1" x14ac:dyDescent="0.3">
      <c r="A25" s="654" t="s">
        <v>586</v>
      </c>
      <c r="B25" s="764"/>
      <c r="C25" s="764"/>
      <c r="D25" s="764"/>
      <c r="E25" s="764"/>
      <c r="F25" s="764"/>
      <c r="G25" s="764"/>
      <c r="H25" s="764"/>
      <c r="I25" s="764"/>
      <c r="J25" s="764"/>
      <c r="K25" s="764"/>
      <c r="L25" s="764"/>
      <c r="M25" s="764"/>
      <c r="N25" s="769">
        <f t="shared" si="2"/>
        <v>0</v>
      </c>
      <c r="P25" s="918">
        <f>SUM('1. Bevételek_kiadások_összesen'!C122)</f>
        <v>0</v>
      </c>
    </row>
    <row r="26" spans="1:16" ht="13.5" customHeight="1" x14ac:dyDescent="0.3">
      <c r="A26" s="655" t="s">
        <v>676</v>
      </c>
      <c r="B26" s="765">
        <v>32755</v>
      </c>
      <c r="C26" s="765">
        <v>32755</v>
      </c>
      <c r="D26" s="765">
        <v>32755</v>
      </c>
      <c r="E26" s="765">
        <v>32755</v>
      </c>
      <c r="F26" s="765">
        <v>32755</v>
      </c>
      <c r="G26" s="765">
        <v>32755</v>
      </c>
      <c r="H26" s="765">
        <v>32755</v>
      </c>
      <c r="I26" s="765">
        <v>32756</v>
      </c>
      <c r="J26" s="765">
        <v>32756</v>
      </c>
      <c r="K26" s="765">
        <v>32756</v>
      </c>
      <c r="L26" s="765">
        <v>32756</v>
      </c>
      <c r="M26" s="765">
        <v>32756</v>
      </c>
      <c r="N26" s="762">
        <f t="shared" si="2"/>
        <v>393065</v>
      </c>
      <c r="P26" s="918">
        <f>SUM('1. Bevételek_kiadások_összesen'!C125)</f>
        <v>393065</v>
      </c>
    </row>
    <row r="27" spans="1:16" ht="13.5" customHeight="1" thickBot="1" x14ac:dyDescent="0.35">
      <c r="A27" s="655" t="s">
        <v>333</v>
      </c>
      <c r="B27" s="765">
        <v>89596</v>
      </c>
      <c r="C27" s="765">
        <v>89596</v>
      </c>
      <c r="D27" s="765">
        <v>89596</v>
      </c>
      <c r="E27" s="765">
        <v>89596</v>
      </c>
      <c r="F27" s="765">
        <v>89596</v>
      </c>
      <c r="G27" s="765">
        <v>89596</v>
      </c>
      <c r="H27" s="765">
        <v>89596</v>
      </c>
      <c r="I27" s="765">
        <v>89596</v>
      </c>
      <c r="J27" s="765">
        <v>89596</v>
      </c>
      <c r="K27" s="765">
        <v>89596</v>
      </c>
      <c r="L27" s="765">
        <v>89596</v>
      </c>
      <c r="M27" s="765">
        <v>89595</v>
      </c>
      <c r="N27" s="762">
        <f t="shared" si="2"/>
        <v>1075151</v>
      </c>
      <c r="P27" s="920">
        <f>SUM('1. Bevételek_kiadások_összesen'!F139)</f>
        <v>1075151</v>
      </c>
    </row>
    <row r="28" spans="1:16" ht="13.5" customHeight="1" thickBot="1" x14ac:dyDescent="0.35">
      <c r="A28" s="647" t="s">
        <v>587</v>
      </c>
      <c r="B28" s="763">
        <f>SUM(B16:B27)</f>
        <v>814395</v>
      </c>
      <c r="C28" s="763">
        <f t="shared" ref="C28:N28" si="3">SUM(C16:C27)</f>
        <v>814395</v>
      </c>
      <c r="D28" s="763">
        <f t="shared" si="3"/>
        <v>814395</v>
      </c>
      <c r="E28" s="763">
        <f t="shared" si="3"/>
        <v>814395</v>
      </c>
      <c r="F28" s="763">
        <f t="shared" si="3"/>
        <v>814396</v>
      </c>
      <c r="G28" s="763">
        <f t="shared" si="3"/>
        <v>814397</v>
      </c>
      <c r="H28" s="763">
        <f t="shared" si="3"/>
        <v>814396</v>
      </c>
      <c r="I28" s="763">
        <f t="shared" si="3"/>
        <v>814396</v>
      </c>
      <c r="J28" s="763">
        <f t="shared" si="3"/>
        <v>814395</v>
      </c>
      <c r="K28" s="763">
        <f t="shared" si="3"/>
        <v>814396</v>
      </c>
      <c r="L28" s="763">
        <f t="shared" si="3"/>
        <v>814396</v>
      </c>
      <c r="M28" s="763">
        <f t="shared" si="3"/>
        <v>814396</v>
      </c>
      <c r="N28" s="770">
        <f t="shared" si="3"/>
        <v>9772748</v>
      </c>
      <c r="P28" s="920">
        <f>SUM(P16:P27)</f>
        <v>9772747.8350000009</v>
      </c>
    </row>
  </sheetData>
  <mergeCells count="1">
    <mergeCell ref="B2:K2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3"/>
  <sheetViews>
    <sheetView view="pageBreakPreview" workbookViewId="0">
      <selection activeCell="B1" sqref="B1"/>
    </sheetView>
  </sheetViews>
  <sheetFormatPr defaultRowHeight="15.75" x14ac:dyDescent="0.25"/>
  <cols>
    <col min="1" max="1" width="9.42578125" style="612" customWidth="1"/>
    <col min="2" max="2" width="91.5703125" style="612" customWidth="1"/>
    <col min="3" max="3" width="21.5703125" style="542" customWidth="1"/>
    <col min="4" max="4" width="9.140625" style="337"/>
    <col min="5" max="5" width="9.140625" style="337" customWidth="1"/>
    <col min="6" max="6" width="11.85546875" style="923" customWidth="1"/>
    <col min="7" max="16384" width="9.140625" style="337"/>
  </cols>
  <sheetData>
    <row r="1" spans="1:6" s="338" customFormat="1" ht="12.75" x14ac:dyDescent="0.2">
      <c r="A1" s="541"/>
      <c r="B1" s="541" t="s">
        <v>711</v>
      </c>
      <c r="C1" s="542"/>
      <c r="F1" s="923"/>
    </row>
    <row r="2" spans="1:6" ht="22.15" customHeight="1" x14ac:dyDescent="0.25">
      <c r="A2" s="927" t="s">
        <v>12</v>
      </c>
      <c r="B2" s="927"/>
      <c r="C2" s="927"/>
    </row>
    <row r="3" spans="1:6" ht="15" x14ac:dyDescent="0.25">
      <c r="A3" s="926" t="s">
        <v>13</v>
      </c>
      <c r="B3" s="926"/>
      <c r="C3" s="543" t="s">
        <v>14</v>
      </c>
    </row>
    <row r="4" spans="1:6" ht="30" x14ac:dyDescent="0.25">
      <c r="A4" s="544" t="s">
        <v>15</v>
      </c>
      <c r="B4" s="545" t="s">
        <v>16</v>
      </c>
      <c r="C4" s="546" t="s">
        <v>551</v>
      </c>
    </row>
    <row r="5" spans="1:6" ht="15" x14ac:dyDescent="0.25">
      <c r="A5" s="547">
        <v>1</v>
      </c>
      <c r="B5" s="548">
        <v>2</v>
      </c>
      <c r="C5" s="549">
        <v>3</v>
      </c>
    </row>
    <row r="6" spans="1:6" ht="15" x14ac:dyDescent="0.25">
      <c r="A6" s="550" t="s">
        <v>3</v>
      </c>
      <c r="B6" s="551" t="s">
        <v>17</v>
      </c>
      <c r="C6" s="552">
        <f>C7+C8+C9+C10</f>
        <v>1177805</v>
      </c>
    </row>
    <row r="7" spans="1:6" x14ac:dyDescent="0.3">
      <c r="A7" s="553" t="s">
        <v>18</v>
      </c>
      <c r="B7" s="554" t="s">
        <v>19</v>
      </c>
      <c r="C7" s="555">
        <f>SUM('2. Önk.bev.'!E7)</f>
        <v>242732</v>
      </c>
    </row>
    <row r="8" spans="1:6" x14ac:dyDescent="0.3">
      <c r="A8" s="556" t="s">
        <v>20</v>
      </c>
      <c r="B8" s="557" t="s">
        <v>21</v>
      </c>
      <c r="C8" s="555">
        <f>SUM('2. Önk.bev.'!E8)</f>
        <v>387092</v>
      </c>
    </row>
    <row r="9" spans="1:6" x14ac:dyDescent="0.3">
      <c r="A9" s="556" t="s">
        <v>22</v>
      </c>
      <c r="B9" s="557" t="s">
        <v>23</v>
      </c>
      <c r="C9" s="555">
        <f>SUM('2. Önk.bev.'!E9)</f>
        <v>523189</v>
      </c>
    </row>
    <row r="10" spans="1:6" x14ac:dyDescent="0.3">
      <c r="A10" s="556" t="s">
        <v>24</v>
      </c>
      <c r="B10" s="557" t="s">
        <v>25</v>
      </c>
      <c r="C10" s="555">
        <f>SUM('2. Önk.bev.'!E10)</f>
        <v>24792</v>
      </c>
    </row>
    <row r="11" spans="1:6" x14ac:dyDescent="0.3">
      <c r="A11" s="556" t="s">
        <v>26</v>
      </c>
      <c r="B11" s="557" t="s">
        <v>27</v>
      </c>
      <c r="C11" s="558">
        <v>0</v>
      </c>
    </row>
    <row r="12" spans="1:6" ht="15" x14ac:dyDescent="0.25">
      <c r="A12" s="550" t="s">
        <v>5</v>
      </c>
      <c r="B12" s="559" t="s">
        <v>28</v>
      </c>
      <c r="C12" s="552">
        <f>C13+C14+C15+C16+C17</f>
        <v>281650</v>
      </c>
    </row>
    <row r="13" spans="1:6" x14ac:dyDescent="0.3">
      <c r="A13" s="553" t="s">
        <v>29</v>
      </c>
      <c r="B13" s="554" t="s">
        <v>30</v>
      </c>
      <c r="C13" s="357"/>
    </row>
    <row r="14" spans="1:6" x14ac:dyDescent="0.3">
      <c r="A14" s="556" t="s">
        <v>31</v>
      </c>
      <c r="B14" s="557" t="s">
        <v>32</v>
      </c>
      <c r="C14" s="558"/>
    </row>
    <row r="15" spans="1:6" x14ac:dyDescent="0.3">
      <c r="A15" s="556" t="s">
        <v>33</v>
      </c>
      <c r="B15" s="557" t="s">
        <v>34</v>
      </c>
      <c r="C15" s="558"/>
    </row>
    <row r="16" spans="1:6" x14ac:dyDescent="0.3">
      <c r="A16" s="556" t="s">
        <v>35</v>
      </c>
      <c r="B16" s="557" t="s">
        <v>36</v>
      </c>
      <c r="C16" s="558"/>
    </row>
    <row r="17" spans="1:3" x14ac:dyDescent="0.3">
      <c r="A17" s="556" t="s">
        <v>37</v>
      </c>
      <c r="B17" s="557" t="s">
        <v>38</v>
      </c>
      <c r="C17" s="558">
        <f>'2. Önk.bev.'!F47+'4. Int.bev.'!F31</f>
        <v>281650</v>
      </c>
    </row>
    <row r="18" spans="1:3" x14ac:dyDescent="0.3">
      <c r="A18" s="560" t="s">
        <v>39</v>
      </c>
      <c r="B18" s="561" t="s">
        <v>40</v>
      </c>
      <c r="C18" s="562"/>
    </row>
    <row r="19" spans="1:3" ht="15" x14ac:dyDescent="0.25">
      <c r="A19" s="550" t="s">
        <v>7</v>
      </c>
      <c r="B19" s="551" t="s">
        <v>41</v>
      </c>
      <c r="C19" s="552">
        <f>C20+C21+C22+C23+C24</f>
        <v>0</v>
      </c>
    </row>
    <row r="20" spans="1:3" x14ac:dyDescent="0.3">
      <c r="A20" s="553" t="s">
        <v>42</v>
      </c>
      <c r="B20" s="554" t="s">
        <v>43</v>
      </c>
      <c r="C20" s="357"/>
    </row>
    <row r="21" spans="1:3" x14ac:dyDescent="0.3">
      <c r="A21" s="556" t="s">
        <v>44</v>
      </c>
      <c r="B21" s="557" t="s">
        <v>45</v>
      </c>
      <c r="C21" s="558"/>
    </row>
    <row r="22" spans="1:3" x14ac:dyDescent="0.3">
      <c r="A22" s="556" t="s">
        <v>46</v>
      </c>
      <c r="B22" s="557" t="s">
        <v>47</v>
      </c>
      <c r="C22" s="558"/>
    </row>
    <row r="23" spans="1:3" x14ac:dyDescent="0.3">
      <c r="A23" s="556" t="s">
        <v>48</v>
      </c>
      <c r="B23" s="557" t="s">
        <v>49</v>
      </c>
      <c r="C23" s="558"/>
    </row>
    <row r="24" spans="1:3" x14ac:dyDescent="0.3">
      <c r="A24" s="556" t="s">
        <v>50</v>
      </c>
      <c r="B24" s="557" t="s">
        <v>51</v>
      </c>
      <c r="C24" s="558">
        <f>'2. Önk.bev.'!J47</f>
        <v>0</v>
      </c>
    </row>
    <row r="25" spans="1:3" x14ac:dyDescent="0.3">
      <c r="A25" s="560" t="s">
        <v>52</v>
      </c>
      <c r="B25" s="563" t="s">
        <v>53</v>
      </c>
      <c r="C25" s="564"/>
    </row>
    <row r="26" spans="1:3" ht="15" x14ac:dyDescent="0.25">
      <c r="A26" s="550" t="s">
        <v>54</v>
      </c>
      <c r="B26" s="551" t="s">
        <v>55</v>
      </c>
      <c r="C26" s="552">
        <f>C27+C28+C31+C32+C33</f>
        <v>998464</v>
      </c>
    </row>
    <row r="27" spans="1:3" ht="15" x14ac:dyDescent="0.25">
      <c r="A27" s="565" t="s">
        <v>56</v>
      </c>
      <c r="B27" s="566" t="s">
        <v>57</v>
      </c>
      <c r="C27" s="357">
        <v>0</v>
      </c>
    </row>
    <row r="28" spans="1:3" x14ac:dyDescent="0.3">
      <c r="A28" s="556" t="s">
        <v>58</v>
      </c>
      <c r="B28" s="557" t="s">
        <v>59</v>
      </c>
      <c r="C28" s="558">
        <f>C29+C30</f>
        <v>944315</v>
      </c>
    </row>
    <row r="29" spans="1:3" x14ac:dyDescent="0.3">
      <c r="A29" s="556" t="s">
        <v>60</v>
      </c>
      <c r="B29" s="567" t="s">
        <v>61</v>
      </c>
      <c r="C29" s="568">
        <f>'2. Önk.bev.'!G13+'2. Önk.bev.'!G14</f>
        <v>316329</v>
      </c>
    </row>
    <row r="30" spans="1:3" x14ac:dyDescent="0.3">
      <c r="A30" s="556" t="s">
        <v>62</v>
      </c>
      <c r="B30" s="567" t="s">
        <v>63</v>
      </c>
      <c r="C30" s="568">
        <f>'2. Önk.bev.'!G15</f>
        <v>627986</v>
      </c>
    </row>
    <row r="31" spans="1:3" x14ac:dyDescent="0.3">
      <c r="A31" s="556" t="s">
        <v>64</v>
      </c>
      <c r="B31" s="557" t="s">
        <v>65</v>
      </c>
      <c r="C31" s="558">
        <f>'2. Önk.bev.'!G16</f>
        <v>48407</v>
      </c>
    </row>
    <row r="32" spans="1:3" x14ac:dyDescent="0.3">
      <c r="A32" s="556" t="s">
        <v>66</v>
      </c>
      <c r="B32" s="557" t="s">
        <v>67</v>
      </c>
      <c r="C32" s="564">
        <f>'2. Önk.bev.'!G17</f>
        <v>545</v>
      </c>
    </row>
    <row r="33" spans="1:3" x14ac:dyDescent="0.3">
      <c r="A33" s="560" t="s">
        <v>68</v>
      </c>
      <c r="B33" s="563" t="s">
        <v>69</v>
      </c>
      <c r="C33" s="564">
        <f>'2. Önk.bev.'!G18+'2. Önk.bev.'!G19</f>
        <v>5197</v>
      </c>
    </row>
    <row r="34" spans="1:3" ht="15" x14ac:dyDescent="0.25">
      <c r="A34" s="550" t="s">
        <v>11</v>
      </c>
      <c r="B34" s="551" t="s">
        <v>70</v>
      </c>
      <c r="C34" s="552">
        <f>SUM(C35:C44)</f>
        <v>297591</v>
      </c>
    </row>
    <row r="35" spans="1:3" x14ac:dyDescent="0.3">
      <c r="A35" s="553" t="s">
        <v>71</v>
      </c>
      <c r="B35" s="554" t="s">
        <v>72</v>
      </c>
      <c r="C35" s="357">
        <v>0</v>
      </c>
    </row>
    <row r="36" spans="1:3" x14ac:dyDescent="0.3">
      <c r="A36" s="556" t="s">
        <v>73</v>
      </c>
      <c r="B36" s="557" t="s">
        <v>74</v>
      </c>
      <c r="C36" s="357">
        <f>'2. Önk.bev.'!H22+'2. Önk.bev.'!H25+'2. Önk.bev.'!H26</f>
        <v>3150</v>
      </c>
    </row>
    <row r="37" spans="1:3" x14ac:dyDescent="0.3">
      <c r="A37" s="556" t="s">
        <v>75</v>
      </c>
      <c r="B37" s="557" t="s">
        <v>76</v>
      </c>
      <c r="C37" s="357">
        <f>'2. Önk.bev.'!H27+'2. Önk.bev.'!H28+'4. Int.bev.'!H26</f>
        <v>19864</v>
      </c>
    </row>
    <row r="38" spans="1:3" x14ac:dyDescent="0.3">
      <c r="A38" s="556" t="s">
        <v>77</v>
      </c>
      <c r="B38" s="557" t="s">
        <v>78</v>
      </c>
      <c r="C38" s="357">
        <f>'2. Önk.bev.'!H29+'2. Önk.bev.'!H23+'2. Önk.bev.'!H24</f>
        <v>159812</v>
      </c>
    </row>
    <row r="39" spans="1:3" x14ac:dyDescent="0.3">
      <c r="A39" s="556" t="s">
        <v>79</v>
      </c>
      <c r="B39" s="557" t="s">
        <v>80</v>
      </c>
      <c r="C39" s="357">
        <f>'2. Önk.bev.'!H30+'4. Int.bev.'!H8+'4. Int.bev.'!H14+'4. Int.bev.'!H20</f>
        <v>84044</v>
      </c>
    </row>
    <row r="40" spans="1:3" x14ac:dyDescent="0.3">
      <c r="A40" s="556" t="s">
        <v>81</v>
      </c>
      <c r="B40" s="557" t="s">
        <v>82</v>
      </c>
      <c r="C40" s="357">
        <f>'2. Önk.bev.'!H31+'2. Önk.bev.'!H32+'2. Önk.bev.'!H38+'4. Int.bev.'!H9+'4. Int.bev.'!H15+'4. Int.bev.'!H27</f>
        <v>23073</v>
      </c>
    </row>
    <row r="41" spans="1:3" x14ac:dyDescent="0.3">
      <c r="A41" s="556" t="s">
        <v>83</v>
      </c>
      <c r="B41" s="557" t="s">
        <v>84</v>
      </c>
      <c r="C41" s="357"/>
    </row>
    <row r="42" spans="1:3" x14ac:dyDescent="0.3">
      <c r="A42" s="556" t="s">
        <v>85</v>
      </c>
      <c r="B42" s="557" t="s">
        <v>86</v>
      </c>
      <c r="C42" s="357">
        <f>'2. Önk.bev.'!H33+'4. Int.bev.'!H10+'4. Int.bev.'!H16+'4. Int.bev.'!H22+'4. Int.bev.'!H28</f>
        <v>4000</v>
      </c>
    </row>
    <row r="43" spans="1:3" x14ac:dyDescent="0.3">
      <c r="A43" s="556" t="s">
        <v>87</v>
      </c>
      <c r="B43" s="557" t="s">
        <v>88</v>
      </c>
      <c r="C43" s="357"/>
    </row>
    <row r="44" spans="1:3" x14ac:dyDescent="0.3">
      <c r="A44" s="560" t="s">
        <v>89</v>
      </c>
      <c r="B44" s="563" t="s">
        <v>90</v>
      </c>
      <c r="C44" s="357">
        <f>'2. Önk.bev.'!H34+'2. Önk.bev.'!H35+'2. Önk.bev.'!H36+'4. Int.bev.'!H11+'4. Int.bev.'!H17+'4. Int.bev.'!H22+'4. Int.bev.'!H29+'2. Önk.bev.'!H37+'4. Int.bev.'!H25+'2. Önk.bev.'!H45</f>
        <v>3648</v>
      </c>
    </row>
    <row r="45" spans="1:3" ht="15" x14ac:dyDescent="0.25">
      <c r="A45" s="550" t="s">
        <v>91</v>
      </c>
      <c r="B45" s="551" t="s">
        <v>92</v>
      </c>
      <c r="C45" s="552">
        <f>C46+C47+C48+C49+C50</f>
        <v>85977</v>
      </c>
    </row>
    <row r="46" spans="1:3" x14ac:dyDescent="0.3">
      <c r="A46" s="553" t="s">
        <v>93</v>
      </c>
      <c r="B46" s="554" t="s">
        <v>94</v>
      </c>
      <c r="C46" s="357"/>
    </row>
    <row r="47" spans="1:3" x14ac:dyDescent="0.3">
      <c r="A47" s="556" t="s">
        <v>95</v>
      </c>
      <c r="B47" s="557" t="s">
        <v>96</v>
      </c>
      <c r="C47" s="357">
        <f>'2. Önk.bev.'!K47</f>
        <v>85977</v>
      </c>
    </row>
    <row r="48" spans="1:3" x14ac:dyDescent="0.3">
      <c r="A48" s="556" t="s">
        <v>97</v>
      </c>
      <c r="B48" s="557" t="s">
        <v>98</v>
      </c>
      <c r="C48" s="357"/>
    </row>
    <row r="49" spans="1:6" x14ac:dyDescent="0.3">
      <c r="A49" s="556" t="s">
        <v>99</v>
      </c>
      <c r="B49" s="557" t="s">
        <v>100</v>
      </c>
      <c r="C49" s="357"/>
    </row>
    <row r="50" spans="1:6" x14ac:dyDescent="0.3">
      <c r="A50" s="560" t="s">
        <v>101</v>
      </c>
      <c r="B50" s="563" t="s">
        <v>102</v>
      </c>
      <c r="C50" s="357"/>
    </row>
    <row r="51" spans="1:6" ht="15" x14ac:dyDescent="0.25">
      <c r="A51" s="550" t="s">
        <v>103</v>
      </c>
      <c r="B51" s="551" t="s">
        <v>104</v>
      </c>
      <c r="C51" s="552">
        <f>C52+C53+C54</f>
        <v>0</v>
      </c>
    </row>
    <row r="52" spans="1:6" x14ac:dyDescent="0.3">
      <c r="A52" s="553" t="s">
        <v>105</v>
      </c>
      <c r="B52" s="554" t="s">
        <v>106</v>
      </c>
      <c r="C52" s="569"/>
    </row>
    <row r="53" spans="1:6" x14ac:dyDescent="0.3">
      <c r="A53" s="556" t="s">
        <v>107</v>
      </c>
      <c r="B53" s="557" t="s">
        <v>108</v>
      </c>
      <c r="C53" s="569"/>
    </row>
    <row r="54" spans="1:6" x14ac:dyDescent="0.3">
      <c r="A54" s="556" t="s">
        <v>109</v>
      </c>
      <c r="B54" s="557" t="s">
        <v>110</v>
      </c>
      <c r="C54" s="569">
        <f>'2. Önk.bev.'!I47</f>
        <v>0</v>
      </c>
    </row>
    <row r="55" spans="1:6" x14ac:dyDescent="0.3">
      <c r="A55" s="560" t="s">
        <v>111</v>
      </c>
      <c r="B55" s="561" t="s">
        <v>112</v>
      </c>
      <c r="C55" s="570"/>
    </row>
    <row r="56" spans="1:6" ht="15" x14ac:dyDescent="0.25">
      <c r="A56" s="550" t="s">
        <v>113</v>
      </c>
      <c r="B56" s="559" t="s">
        <v>114</v>
      </c>
      <c r="C56" s="552">
        <f>C57+C58+C59</f>
        <v>0</v>
      </c>
    </row>
    <row r="57" spans="1:6" x14ac:dyDescent="0.3">
      <c r="A57" s="553" t="s">
        <v>115</v>
      </c>
      <c r="B57" s="554" t="s">
        <v>116</v>
      </c>
      <c r="C57" s="558"/>
    </row>
    <row r="58" spans="1:6" x14ac:dyDescent="0.3">
      <c r="A58" s="556" t="s">
        <v>117</v>
      </c>
      <c r="B58" s="557" t="s">
        <v>118</v>
      </c>
      <c r="C58" s="558"/>
    </row>
    <row r="59" spans="1:6" x14ac:dyDescent="0.3">
      <c r="A59" s="556" t="s">
        <v>119</v>
      </c>
      <c r="B59" s="557" t="s">
        <v>120</v>
      </c>
      <c r="C59" s="558">
        <f>'2. Önk.bev.'!L47</f>
        <v>0</v>
      </c>
    </row>
    <row r="60" spans="1:6" x14ac:dyDescent="0.3">
      <c r="A60" s="560" t="s">
        <v>121</v>
      </c>
      <c r="B60" s="561" t="s">
        <v>122</v>
      </c>
      <c r="C60" s="568"/>
    </row>
    <row r="61" spans="1:6" ht="15" x14ac:dyDescent="0.25">
      <c r="A61" s="550" t="s">
        <v>123</v>
      </c>
      <c r="B61" s="551" t="s">
        <v>124</v>
      </c>
      <c r="C61" s="552">
        <f>C6+C12+C19+C26+C34+C45+C51+C56</f>
        <v>2841487</v>
      </c>
      <c r="F61" s="924">
        <f>SUM('2. Önk.bev.'!M47+'4. Int.bev.'!M31)</f>
        <v>2841487</v>
      </c>
    </row>
    <row r="62" spans="1:6" x14ac:dyDescent="0.3">
      <c r="A62" s="571" t="s">
        <v>125</v>
      </c>
      <c r="B62" s="559" t="s">
        <v>126</v>
      </c>
      <c r="C62" s="552">
        <f>C63+C64+C65</f>
        <v>0</v>
      </c>
    </row>
    <row r="63" spans="1:6" x14ac:dyDescent="0.3">
      <c r="A63" s="553" t="s">
        <v>127</v>
      </c>
      <c r="B63" s="554" t="s">
        <v>128</v>
      </c>
      <c r="C63" s="558"/>
    </row>
    <row r="64" spans="1:6" x14ac:dyDescent="0.3">
      <c r="A64" s="556" t="s">
        <v>129</v>
      </c>
      <c r="B64" s="557" t="s">
        <v>130</v>
      </c>
      <c r="C64" s="558"/>
    </row>
    <row r="65" spans="1:6" x14ac:dyDescent="0.3">
      <c r="A65" s="560" t="s">
        <v>131</v>
      </c>
      <c r="B65" s="572" t="s">
        <v>132</v>
      </c>
      <c r="C65" s="558"/>
    </row>
    <row r="66" spans="1:6" x14ac:dyDescent="0.3">
      <c r="A66" s="571" t="s">
        <v>133</v>
      </c>
      <c r="B66" s="559" t="s">
        <v>134</v>
      </c>
      <c r="C66" s="552">
        <f>C67+C68+C69+C70</f>
        <v>0</v>
      </c>
    </row>
    <row r="67" spans="1:6" x14ac:dyDescent="0.3">
      <c r="A67" s="553" t="s">
        <v>135</v>
      </c>
      <c r="B67" s="554" t="s">
        <v>136</v>
      </c>
      <c r="C67" s="558"/>
    </row>
    <row r="68" spans="1:6" x14ac:dyDescent="0.3">
      <c r="A68" s="556" t="s">
        <v>137</v>
      </c>
      <c r="B68" s="557" t="s">
        <v>138</v>
      </c>
      <c r="C68" s="558"/>
    </row>
    <row r="69" spans="1:6" x14ac:dyDescent="0.3">
      <c r="A69" s="556" t="s">
        <v>139</v>
      </c>
      <c r="B69" s="557" t="s">
        <v>140</v>
      </c>
      <c r="C69" s="558"/>
    </row>
    <row r="70" spans="1:6" x14ac:dyDescent="0.3">
      <c r="A70" s="560" t="s">
        <v>141</v>
      </c>
      <c r="B70" s="557" t="s">
        <v>142</v>
      </c>
      <c r="C70" s="558"/>
    </row>
    <row r="71" spans="1:6" x14ac:dyDescent="0.3">
      <c r="A71" s="571" t="s">
        <v>143</v>
      </c>
      <c r="B71" s="559" t="s">
        <v>144</v>
      </c>
      <c r="C71" s="552">
        <f>C72+C73</f>
        <v>5856110</v>
      </c>
    </row>
    <row r="72" spans="1:6" x14ac:dyDescent="0.3">
      <c r="A72" s="553" t="s">
        <v>145</v>
      </c>
      <c r="B72" s="554" t="s">
        <v>146</v>
      </c>
      <c r="C72" s="558">
        <f>SUM('2. Önk.bev.'!P47+'4. Int.bev.'!P31)</f>
        <v>5856110</v>
      </c>
      <c r="F72" s="924">
        <f>SUM('2. Önk.bev.'!P47+'4. Int.bev.'!P31)</f>
        <v>5856110</v>
      </c>
    </row>
    <row r="73" spans="1:6" x14ac:dyDescent="0.3">
      <c r="A73" s="560" t="s">
        <v>147</v>
      </c>
      <c r="B73" s="563" t="s">
        <v>148</v>
      </c>
      <c r="C73" s="558"/>
    </row>
    <row r="74" spans="1:6" x14ac:dyDescent="0.3">
      <c r="A74" s="571" t="s">
        <v>149</v>
      </c>
      <c r="B74" s="559" t="s">
        <v>150</v>
      </c>
      <c r="C74" s="552">
        <f>C75+C76+C77+C78+C79</f>
        <v>1075151</v>
      </c>
    </row>
    <row r="75" spans="1:6" x14ac:dyDescent="0.3">
      <c r="A75" s="553" t="s">
        <v>151</v>
      </c>
      <c r="B75" s="554" t="s">
        <v>152</v>
      </c>
      <c r="C75" s="558"/>
    </row>
    <row r="76" spans="1:6" x14ac:dyDescent="0.3">
      <c r="A76" s="556" t="s">
        <v>153</v>
      </c>
      <c r="B76" s="557" t="s">
        <v>154</v>
      </c>
      <c r="C76" s="558"/>
    </row>
    <row r="77" spans="1:6" x14ac:dyDescent="0.3">
      <c r="A77" s="556" t="s">
        <v>155</v>
      </c>
      <c r="B77" s="557" t="s">
        <v>156</v>
      </c>
      <c r="C77" s="558">
        <f>'4. Int.bev.'!Q31</f>
        <v>1075151</v>
      </c>
      <c r="F77" s="924">
        <f>SUM('4. Int.bev.'!Q31)</f>
        <v>1075151</v>
      </c>
    </row>
    <row r="78" spans="1:6" x14ac:dyDescent="0.3">
      <c r="A78" s="560" t="s">
        <v>157</v>
      </c>
      <c r="B78" s="563" t="s">
        <v>158</v>
      </c>
      <c r="C78" s="558"/>
    </row>
    <row r="79" spans="1:6" x14ac:dyDescent="0.3">
      <c r="A79" s="560" t="s">
        <v>159</v>
      </c>
      <c r="B79" s="563" t="s">
        <v>160</v>
      </c>
      <c r="C79" s="558"/>
    </row>
    <row r="80" spans="1:6" x14ac:dyDescent="0.3">
      <c r="A80" s="571" t="s">
        <v>161</v>
      </c>
      <c r="B80" s="559" t="s">
        <v>162</v>
      </c>
      <c r="C80" s="552">
        <f>C81+C82+C83+C84</f>
        <v>0</v>
      </c>
    </row>
    <row r="81" spans="1:6" x14ac:dyDescent="0.3">
      <c r="A81" s="573" t="s">
        <v>163</v>
      </c>
      <c r="B81" s="554" t="s">
        <v>164</v>
      </c>
      <c r="C81" s="558"/>
    </row>
    <row r="82" spans="1:6" x14ac:dyDescent="0.3">
      <c r="A82" s="574" t="s">
        <v>165</v>
      </c>
      <c r="B82" s="557" t="s">
        <v>166</v>
      </c>
      <c r="C82" s="558"/>
    </row>
    <row r="83" spans="1:6" x14ac:dyDescent="0.3">
      <c r="A83" s="574" t="s">
        <v>167</v>
      </c>
      <c r="B83" s="557" t="s">
        <v>168</v>
      </c>
      <c r="C83" s="558"/>
    </row>
    <row r="84" spans="1:6" x14ac:dyDescent="0.3">
      <c r="A84" s="575" t="s">
        <v>169</v>
      </c>
      <c r="B84" s="563" t="s">
        <v>170</v>
      </c>
      <c r="C84" s="558"/>
    </row>
    <row r="85" spans="1:6" x14ac:dyDescent="0.3">
      <c r="A85" s="571" t="s">
        <v>171</v>
      </c>
      <c r="B85" s="559" t="s">
        <v>172</v>
      </c>
      <c r="C85" s="576"/>
    </row>
    <row r="86" spans="1:6" x14ac:dyDescent="0.3">
      <c r="A86" s="571" t="s">
        <v>173</v>
      </c>
      <c r="B86" s="577" t="s">
        <v>174</v>
      </c>
      <c r="C86" s="552">
        <f>C62+C66+C71+C74+C80+C85</f>
        <v>6931261</v>
      </c>
    </row>
    <row r="87" spans="1:6" x14ac:dyDescent="0.3">
      <c r="A87" s="578" t="s">
        <v>175</v>
      </c>
      <c r="B87" s="579" t="s">
        <v>176</v>
      </c>
      <c r="C87" s="552">
        <f>C61+C86</f>
        <v>9772748</v>
      </c>
      <c r="F87" s="925">
        <f>SUM('2. Önk.bev.'!R47+'4. Int.bev.'!R31)</f>
        <v>9772748</v>
      </c>
    </row>
    <row r="88" spans="1:6" ht="15" x14ac:dyDescent="0.25">
      <c r="A88" s="580"/>
      <c r="B88" s="581"/>
      <c r="C88" s="582"/>
      <c r="E88" s="758"/>
    </row>
    <row r="89" spans="1:6" ht="15" x14ac:dyDescent="0.25">
      <c r="A89" s="927" t="s">
        <v>177</v>
      </c>
      <c r="B89" s="927"/>
      <c r="C89" s="927"/>
    </row>
    <row r="90" spans="1:6" x14ac:dyDescent="0.3">
      <c r="A90" s="928" t="s">
        <v>178</v>
      </c>
      <c r="B90" s="928"/>
      <c r="C90" s="583" t="s">
        <v>14</v>
      </c>
    </row>
    <row r="91" spans="1:6" ht="30" x14ac:dyDescent="0.25">
      <c r="A91" s="544" t="s">
        <v>15</v>
      </c>
      <c r="B91" s="545" t="s">
        <v>179</v>
      </c>
      <c r="C91" s="546" t="s">
        <v>551</v>
      </c>
    </row>
    <row r="92" spans="1:6" ht="15" x14ac:dyDescent="0.25">
      <c r="A92" s="584">
        <v>1</v>
      </c>
      <c r="B92" s="584">
        <v>2</v>
      </c>
      <c r="C92" s="585">
        <v>3</v>
      </c>
    </row>
    <row r="93" spans="1:6" ht="15" x14ac:dyDescent="0.25">
      <c r="A93" s="586" t="s">
        <v>3</v>
      </c>
      <c r="B93" s="587" t="s">
        <v>180</v>
      </c>
      <c r="C93" s="588">
        <f>C94+C95+C96+C97+C98</f>
        <v>3127586.835</v>
      </c>
    </row>
    <row r="94" spans="1:6" ht="15" x14ac:dyDescent="0.25">
      <c r="A94" s="553" t="s">
        <v>18</v>
      </c>
      <c r="B94" s="589" t="s">
        <v>181</v>
      </c>
      <c r="C94" s="357">
        <f>'3. Önk.kiad.'!F105+'5. Int.kiad.'!F19</f>
        <v>1052004.8158995816</v>
      </c>
      <c r="F94" s="924">
        <f>SUM('3. Önk.kiad.'!F105+'5. Int.kiad.'!F19)</f>
        <v>1052004.8158995816</v>
      </c>
    </row>
    <row r="95" spans="1:6" ht="15" x14ac:dyDescent="0.25">
      <c r="A95" s="556" t="s">
        <v>20</v>
      </c>
      <c r="B95" s="590" t="s">
        <v>182</v>
      </c>
      <c r="C95" s="558">
        <f>'3. Önk.kiad.'!G105+'5. Int.kiad.'!G19</f>
        <v>207392.01910041843</v>
      </c>
      <c r="F95" s="924">
        <f>SUM('3. Önk.kiad.'!G105+'5. Int.kiad.'!G19)</f>
        <v>207392.01910041843</v>
      </c>
    </row>
    <row r="96" spans="1:6" ht="15" x14ac:dyDescent="0.25">
      <c r="A96" s="556" t="s">
        <v>22</v>
      </c>
      <c r="B96" s="590" t="s">
        <v>183</v>
      </c>
      <c r="C96" s="558">
        <f>'3. Önk.kiad.'!H105+'5. Int.kiad.'!H19</f>
        <v>1203451</v>
      </c>
      <c r="F96" s="924">
        <f>SUM('3. Önk.kiad.'!H105+'5. Int.kiad.'!H19)</f>
        <v>1203451</v>
      </c>
    </row>
    <row r="97" spans="1:6" ht="15" x14ac:dyDescent="0.25">
      <c r="A97" s="556" t="s">
        <v>24</v>
      </c>
      <c r="B97" s="590" t="s">
        <v>184</v>
      </c>
      <c r="C97" s="558">
        <f>'3. Önk.kiad.'!I105+'5. Int.kiad.'!I19</f>
        <v>68000</v>
      </c>
      <c r="F97" s="924">
        <f>SUM('3. Önk.kiad.'!I105+'5. Int.kiad.'!I19)</f>
        <v>68000</v>
      </c>
    </row>
    <row r="98" spans="1:6" ht="15" x14ac:dyDescent="0.25">
      <c r="A98" s="556" t="s">
        <v>185</v>
      </c>
      <c r="B98" s="590" t="s">
        <v>186</v>
      </c>
      <c r="C98" s="558">
        <f>SUM(C99:C108)</f>
        <v>596739</v>
      </c>
      <c r="F98" s="924">
        <f>SUM(F103+F108)</f>
        <v>596739</v>
      </c>
    </row>
    <row r="99" spans="1:6" ht="15" x14ac:dyDescent="0.25">
      <c r="A99" s="556" t="s">
        <v>187</v>
      </c>
      <c r="B99" s="591" t="s">
        <v>188</v>
      </c>
      <c r="C99" s="568">
        <f>'3. Önk.kiad.'!J41</f>
        <v>0</v>
      </c>
    </row>
    <row r="100" spans="1:6" x14ac:dyDescent="0.3">
      <c r="A100" s="556" t="s">
        <v>189</v>
      </c>
      <c r="B100" s="592" t="s">
        <v>190</v>
      </c>
      <c r="C100" s="568"/>
    </row>
    <row r="101" spans="1:6" ht="15" x14ac:dyDescent="0.25">
      <c r="A101" s="556" t="s">
        <v>191</v>
      </c>
      <c r="B101" s="593" t="s">
        <v>192</v>
      </c>
      <c r="C101" s="568"/>
    </row>
    <row r="102" spans="1:6" ht="15" x14ac:dyDescent="0.25">
      <c r="A102" s="556" t="s">
        <v>193</v>
      </c>
      <c r="B102" s="593" t="s">
        <v>194</v>
      </c>
      <c r="C102" s="568"/>
    </row>
    <row r="103" spans="1:6" x14ac:dyDescent="0.3">
      <c r="A103" s="556" t="s">
        <v>195</v>
      </c>
      <c r="B103" s="592" t="s">
        <v>196</v>
      </c>
      <c r="C103" s="568">
        <f>'3. Önk.kiad.'!J105-'3. Önk.kiad.'!J41</f>
        <v>256032</v>
      </c>
      <c r="F103" s="924">
        <f>SUM('3. Önk.kiad.'!J105+'5. Int.kiad.'!J19)</f>
        <v>256032</v>
      </c>
    </row>
    <row r="104" spans="1:6" x14ac:dyDescent="0.3">
      <c r="A104" s="556" t="s">
        <v>197</v>
      </c>
      <c r="B104" s="592" t="s">
        <v>198</v>
      </c>
      <c r="C104" s="568"/>
    </row>
    <row r="105" spans="1:6" ht="15" x14ac:dyDescent="0.25">
      <c r="A105" s="556" t="s">
        <v>199</v>
      </c>
      <c r="B105" s="593" t="s">
        <v>200</v>
      </c>
      <c r="C105" s="568"/>
    </row>
    <row r="106" spans="1:6" ht="15" x14ac:dyDescent="0.25">
      <c r="A106" s="556" t="s">
        <v>201</v>
      </c>
      <c r="B106" s="593" t="s">
        <v>202</v>
      </c>
      <c r="C106" s="568"/>
    </row>
    <row r="107" spans="1:6" ht="15" x14ac:dyDescent="0.25">
      <c r="A107" s="556" t="s">
        <v>203</v>
      </c>
      <c r="B107" s="593" t="s">
        <v>204</v>
      </c>
      <c r="C107" s="568"/>
    </row>
    <row r="108" spans="1:6" ht="15" x14ac:dyDescent="0.25">
      <c r="A108" s="560" t="s">
        <v>205</v>
      </c>
      <c r="B108" s="594" t="s">
        <v>206</v>
      </c>
      <c r="C108" s="564">
        <f>'3. Önk.kiad.'!K105</f>
        <v>340707</v>
      </c>
      <c r="F108" s="924">
        <f>SUM('3. Önk.kiad.'!K105+'5. Int.kiad.'!K19)</f>
        <v>340707</v>
      </c>
    </row>
    <row r="109" spans="1:6" ht="15" x14ac:dyDescent="0.25">
      <c r="A109" s="586" t="s">
        <v>5</v>
      </c>
      <c r="B109" s="587" t="s">
        <v>207</v>
      </c>
      <c r="C109" s="588">
        <f>C110+C112+C114</f>
        <v>5176945</v>
      </c>
      <c r="F109" s="925">
        <f>SUM(F110+F112+F114)</f>
        <v>5176945</v>
      </c>
    </row>
    <row r="110" spans="1:6" ht="15" x14ac:dyDescent="0.25">
      <c r="A110" s="553" t="s">
        <v>29</v>
      </c>
      <c r="B110" s="590" t="s">
        <v>208</v>
      </c>
      <c r="C110" s="357">
        <f>'3. Önk.kiad.'!L105+'5. Int.kiad.'!L19</f>
        <v>2818698</v>
      </c>
      <c r="F110" s="924">
        <f>SUM('3. Önk.kiad.'!L105+'5. Int.kiad.'!L19)</f>
        <v>2818698</v>
      </c>
    </row>
    <row r="111" spans="1:6" ht="15" x14ac:dyDescent="0.25">
      <c r="A111" s="553" t="s">
        <v>31</v>
      </c>
      <c r="B111" s="595" t="s">
        <v>209</v>
      </c>
      <c r="C111" s="596">
        <f>'7. EU-s beruh.'!E22</f>
        <v>63857</v>
      </c>
    </row>
    <row r="112" spans="1:6" ht="15" x14ac:dyDescent="0.25">
      <c r="A112" s="553" t="s">
        <v>33</v>
      </c>
      <c r="B112" s="597" t="s">
        <v>210</v>
      </c>
      <c r="C112" s="558">
        <f>'3. Önk.kiad.'!M105+'5. Int.kiad.'!M19</f>
        <v>2358247</v>
      </c>
      <c r="F112" s="924">
        <f>SUM('3. Önk.kiad.'!M105+'5. Int.kiad.'!M19)</f>
        <v>2358247</v>
      </c>
    </row>
    <row r="113" spans="1:6" ht="15" x14ac:dyDescent="0.25">
      <c r="A113" s="553" t="s">
        <v>35</v>
      </c>
      <c r="B113" s="595" t="s">
        <v>211</v>
      </c>
      <c r="C113" s="570"/>
    </row>
    <row r="114" spans="1:6" ht="15" x14ac:dyDescent="0.25">
      <c r="A114" s="553" t="s">
        <v>37</v>
      </c>
      <c r="B114" s="598" t="s">
        <v>212</v>
      </c>
      <c r="C114" s="569">
        <f>SUM(C115:C122)</f>
        <v>0</v>
      </c>
      <c r="F114" s="924">
        <f>SUM('3. Önk.kiad.'!N105+'3. Önk.kiad.'!O105+'5. Int.kiad.'!N19+'5. Int.kiad.'!O19)</f>
        <v>0</v>
      </c>
    </row>
    <row r="115" spans="1:6" ht="15" x14ac:dyDescent="0.25">
      <c r="A115" s="553" t="s">
        <v>39</v>
      </c>
      <c r="B115" s="599" t="s">
        <v>213</v>
      </c>
      <c r="C115" s="570"/>
    </row>
    <row r="116" spans="1:6" ht="15" x14ac:dyDescent="0.25">
      <c r="A116" s="553" t="s">
        <v>214</v>
      </c>
      <c r="B116" s="600" t="s">
        <v>215</v>
      </c>
      <c r="C116" s="570"/>
    </row>
    <row r="117" spans="1:6" ht="15" x14ac:dyDescent="0.25">
      <c r="A117" s="553" t="s">
        <v>216</v>
      </c>
      <c r="B117" s="593" t="s">
        <v>194</v>
      </c>
      <c r="C117" s="570"/>
    </row>
    <row r="118" spans="1:6" ht="15" x14ac:dyDescent="0.25">
      <c r="A118" s="553" t="s">
        <v>217</v>
      </c>
      <c r="B118" s="593" t="s">
        <v>218</v>
      </c>
      <c r="C118" s="570"/>
    </row>
    <row r="119" spans="1:6" ht="15" x14ac:dyDescent="0.25">
      <c r="A119" s="553" t="s">
        <v>219</v>
      </c>
      <c r="B119" s="593" t="s">
        <v>220</v>
      </c>
      <c r="C119" s="570"/>
    </row>
    <row r="120" spans="1:6" ht="15" x14ac:dyDescent="0.25">
      <c r="A120" s="553" t="s">
        <v>221</v>
      </c>
      <c r="B120" s="593" t="s">
        <v>200</v>
      </c>
      <c r="C120" s="570"/>
    </row>
    <row r="121" spans="1:6" ht="15" x14ac:dyDescent="0.25">
      <c r="A121" s="553" t="s">
        <v>222</v>
      </c>
      <c r="B121" s="593" t="s">
        <v>223</v>
      </c>
      <c r="C121" s="570">
        <f>'3. Önk.kiad.'!O71</f>
        <v>0</v>
      </c>
    </row>
    <row r="122" spans="1:6" ht="15" x14ac:dyDescent="0.25">
      <c r="A122" s="601" t="s">
        <v>224</v>
      </c>
      <c r="B122" s="593" t="s">
        <v>225</v>
      </c>
      <c r="C122" s="602">
        <f>'3. Önk.kiad.'!O105-'3. Önk.kiad.'!O71</f>
        <v>0</v>
      </c>
    </row>
    <row r="123" spans="1:6" ht="15" x14ac:dyDescent="0.25">
      <c r="A123" s="550" t="s">
        <v>7</v>
      </c>
      <c r="B123" s="551" t="s">
        <v>226</v>
      </c>
      <c r="C123" s="552">
        <f>C124+C125</f>
        <v>393065</v>
      </c>
    </row>
    <row r="124" spans="1:6" ht="15" x14ac:dyDescent="0.25">
      <c r="A124" s="553" t="s">
        <v>42</v>
      </c>
      <c r="B124" s="589" t="s">
        <v>227</v>
      </c>
      <c r="C124" s="357">
        <f>'3. Önk.kiad.'!P105</f>
        <v>0</v>
      </c>
    </row>
    <row r="125" spans="1:6" ht="15" x14ac:dyDescent="0.25">
      <c r="A125" s="560" t="s">
        <v>44</v>
      </c>
      <c r="B125" s="597" t="s">
        <v>228</v>
      </c>
      <c r="C125" s="564">
        <f>'3. Önk.kiad.'!Q105</f>
        <v>393065</v>
      </c>
    </row>
    <row r="126" spans="1:6" ht="15" x14ac:dyDescent="0.25">
      <c r="A126" s="550" t="s">
        <v>9</v>
      </c>
      <c r="B126" s="551" t="s">
        <v>229</v>
      </c>
      <c r="C126" s="552">
        <f>C93+C109+C123</f>
        <v>8697596.8350000009</v>
      </c>
      <c r="F126" s="924">
        <f>SUM('3. Önk.kiad.'!Q105)</f>
        <v>393065</v>
      </c>
    </row>
    <row r="127" spans="1:6" ht="15" x14ac:dyDescent="0.25">
      <c r="A127" s="550" t="s">
        <v>11</v>
      </c>
      <c r="B127" s="551" t="s">
        <v>230</v>
      </c>
      <c r="C127" s="552">
        <f>C128+C129+C130</f>
        <v>0</v>
      </c>
    </row>
    <row r="128" spans="1:6" ht="15" x14ac:dyDescent="0.25">
      <c r="A128" s="553" t="s">
        <v>71</v>
      </c>
      <c r="B128" s="603" t="s">
        <v>231</v>
      </c>
      <c r="C128" s="569"/>
    </row>
    <row r="129" spans="1:6" ht="15" x14ac:dyDescent="0.25">
      <c r="A129" s="553" t="s">
        <v>73</v>
      </c>
      <c r="B129" s="603" t="s">
        <v>232</v>
      </c>
      <c r="C129" s="569"/>
    </row>
    <row r="130" spans="1:6" ht="15" x14ac:dyDescent="0.25">
      <c r="A130" s="601" t="s">
        <v>75</v>
      </c>
      <c r="B130" s="604" t="s">
        <v>233</v>
      </c>
      <c r="C130" s="569"/>
    </row>
    <row r="131" spans="1:6" ht="15" x14ac:dyDescent="0.25">
      <c r="A131" s="550" t="s">
        <v>91</v>
      </c>
      <c r="B131" s="551" t="s">
        <v>234</v>
      </c>
      <c r="C131" s="552">
        <f>C132+C133+C134+C135</f>
        <v>0</v>
      </c>
    </row>
    <row r="132" spans="1:6" ht="15" x14ac:dyDescent="0.25">
      <c r="A132" s="553" t="s">
        <v>93</v>
      </c>
      <c r="B132" s="603" t="s">
        <v>235</v>
      </c>
      <c r="C132" s="569"/>
    </row>
    <row r="133" spans="1:6" ht="15" x14ac:dyDescent="0.25">
      <c r="A133" s="553" t="s">
        <v>95</v>
      </c>
      <c r="B133" s="603" t="s">
        <v>236</v>
      </c>
      <c r="C133" s="569"/>
    </row>
    <row r="134" spans="1:6" ht="15" x14ac:dyDescent="0.25">
      <c r="A134" s="553" t="s">
        <v>97</v>
      </c>
      <c r="B134" s="603" t="s">
        <v>237</v>
      </c>
      <c r="C134" s="569"/>
    </row>
    <row r="135" spans="1:6" ht="15" x14ac:dyDescent="0.25">
      <c r="A135" s="601" t="s">
        <v>99</v>
      </c>
      <c r="B135" s="604" t="s">
        <v>238</v>
      </c>
      <c r="C135" s="569"/>
    </row>
    <row r="136" spans="1:6" ht="15" x14ac:dyDescent="0.25">
      <c r="A136" s="550" t="s">
        <v>239</v>
      </c>
      <c r="B136" s="551" t="s">
        <v>240</v>
      </c>
      <c r="C136" s="552">
        <f>C137+C138+C139+C140+C141</f>
        <v>1075151</v>
      </c>
    </row>
    <row r="137" spans="1:6" ht="15" x14ac:dyDescent="0.25">
      <c r="A137" s="553" t="s">
        <v>105</v>
      </c>
      <c r="B137" s="589" t="s">
        <v>241</v>
      </c>
      <c r="C137" s="569"/>
    </row>
    <row r="138" spans="1:6" ht="15" x14ac:dyDescent="0.25">
      <c r="A138" s="553" t="s">
        <v>107</v>
      </c>
      <c r="B138" s="589" t="s">
        <v>242</v>
      </c>
      <c r="C138" s="569"/>
    </row>
    <row r="139" spans="1:6" ht="15" x14ac:dyDescent="0.25">
      <c r="A139" s="556" t="s">
        <v>109</v>
      </c>
      <c r="B139" s="590" t="s">
        <v>243</v>
      </c>
      <c r="C139" s="569">
        <f>SUM('3. Önk.kiad.'!U105)</f>
        <v>1075151</v>
      </c>
      <c r="F139" s="924">
        <f>SUM('3. Önk.kiad.'!U105)</f>
        <v>1075151</v>
      </c>
    </row>
    <row r="140" spans="1:6" ht="15" x14ac:dyDescent="0.25">
      <c r="A140" s="556" t="s">
        <v>111</v>
      </c>
      <c r="B140" s="590" t="s">
        <v>244</v>
      </c>
      <c r="C140" s="569"/>
    </row>
    <row r="141" spans="1:6" ht="15" x14ac:dyDescent="0.25">
      <c r="A141" s="556" t="s">
        <v>245</v>
      </c>
      <c r="B141" s="605" t="s">
        <v>246</v>
      </c>
      <c r="C141" s="569"/>
    </row>
    <row r="142" spans="1:6" ht="15" x14ac:dyDescent="0.25">
      <c r="A142" s="550" t="s">
        <v>113</v>
      </c>
      <c r="B142" s="551" t="s">
        <v>247</v>
      </c>
      <c r="C142" s="606">
        <f>C143+C144+C146</f>
        <v>0</v>
      </c>
    </row>
    <row r="143" spans="1:6" ht="15" x14ac:dyDescent="0.25">
      <c r="A143" s="553" t="s">
        <v>115</v>
      </c>
      <c r="B143" s="589" t="s">
        <v>248</v>
      </c>
      <c r="C143" s="569"/>
    </row>
    <row r="144" spans="1:6" ht="15" x14ac:dyDescent="0.25">
      <c r="A144" s="553" t="s">
        <v>117</v>
      </c>
      <c r="B144" s="589" t="s">
        <v>249</v>
      </c>
      <c r="C144" s="569"/>
    </row>
    <row r="145" spans="1:6" ht="15" x14ac:dyDescent="0.25">
      <c r="A145" s="553" t="s">
        <v>119</v>
      </c>
      <c r="B145" s="589" t="s">
        <v>250</v>
      </c>
      <c r="C145" s="569"/>
    </row>
    <row r="146" spans="1:6" ht="15" x14ac:dyDescent="0.25">
      <c r="A146" s="553" t="s">
        <v>121</v>
      </c>
      <c r="B146" s="589" t="s">
        <v>251</v>
      </c>
      <c r="C146" s="569"/>
    </row>
    <row r="147" spans="1:6" ht="15" x14ac:dyDescent="0.25">
      <c r="A147" s="550" t="s">
        <v>123</v>
      </c>
      <c r="B147" s="551" t="s">
        <v>252</v>
      </c>
      <c r="C147" s="606">
        <f>C127+C131+C136+C142</f>
        <v>1075151</v>
      </c>
    </row>
    <row r="148" spans="1:6" ht="15" x14ac:dyDescent="0.25">
      <c r="A148" s="607" t="s">
        <v>253</v>
      </c>
      <c r="B148" s="608" t="s">
        <v>254</v>
      </c>
      <c r="C148" s="606">
        <f>C126+C147</f>
        <v>9772747.8350000009</v>
      </c>
      <c r="F148" s="924">
        <f>SUM('3. Önk.kiad.'!V105+'5. Int.kiad.'!V19)</f>
        <v>9772747.8350000009</v>
      </c>
    </row>
    <row r="149" spans="1:6" x14ac:dyDescent="0.3">
      <c r="A149" s="609"/>
      <c r="B149" s="609"/>
      <c r="C149" s="610"/>
    </row>
    <row r="150" spans="1:6" x14ac:dyDescent="0.3">
      <c r="A150" s="929" t="s">
        <v>255</v>
      </c>
      <c r="B150" s="929"/>
      <c r="C150" s="929"/>
    </row>
    <row r="151" spans="1:6" ht="15" x14ac:dyDescent="0.25">
      <c r="A151" s="926" t="s">
        <v>256</v>
      </c>
      <c r="B151" s="926"/>
      <c r="C151" s="543" t="s">
        <v>14</v>
      </c>
    </row>
    <row r="152" spans="1:6" ht="15" x14ac:dyDescent="0.25">
      <c r="A152" s="550">
        <v>1</v>
      </c>
      <c r="B152" s="611" t="s">
        <v>257</v>
      </c>
      <c r="C152" s="552">
        <f>+C61-C126</f>
        <v>-5856109.8350000009</v>
      </c>
    </row>
    <row r="153" spans="1:6" ht="30" x14ac:dyDescent="0.25">
      <c r="A153" s="550" t="s">
        <v>5</v>
      </c>
      <c r="B153" s="611" t="s">
        <v>258</v>
      </c>
      <c r="C153" s="552">
        <f>+C86-C147</f>
        <v>5856110</v>
      </c>
    </row>
  </sheetData>
  <sheetProtection selectLockedCells="1" selectUnlockedCells="1"/>
  <mergeCells count="6">
    <mergeCell ref="A151:B151"/>
    <mergeCell ref="A2:C2"/>
    <mergeCell ref="A3:B3"/>
    <mergeCell ref="A89:C89"/>
    <mergeCell ref="A90:B90"/>
    <mergeCell ref="A150:C150"/>
  </mergeCells>
  <pageMargins left="0.7" right="0.7" top="0.75" bottom="0.75" header="0.51180555555555551" footer="0.51180555555555551"/>
  <pageSetup paperSize="9" scale="54" firstPageNumber="0" fitToHeight="0" orientation="portrait" horizontalDpi="300" verticalDpi="300" r:id="rId1"/>
  <headerFooter alignWithMargins="0"/>
  <rowBreaks count="1" manualBreakCount="1">
    <brk id="8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zoomScale="70" zoomScaleNormal="70" zoomScaleSheetLayoutView="100" workbookViewId="0">
      <selection activeCell="B1" sqref="B1:C1"/>
    </sheetView>
  </sheetViews>
  <sheetFormatPr defaultColWidth="9" defaultRowHeight="18" x14ac:dyDescent="0.35"/>
  <cols>
    <col min="1" max="1" width="4.5703125" style="341" customWidth="1"/>
    <col min="2" max="2" width="4.42578125" style="342" customWidth="1"/>
    <col min="3" max="3" width="57.42578125" style="356" customWidth="1"/>
    <col min="4" max="4" width="7" style="356" customWidth="1"/>
    <col min="5" max="7" width="17.42578125" style="337" customWidth="1"/>
    <col min="8" max="8" width="17.42578125" style="402" customWidth="1"/>
    <col min="9" max="12" width="17.42578125" style="337" customWidth="1"/>
    <col min="13" max="13" width="20.42578125" style="337" customWidth="1"/>
    <col min="14" max="18" width="17.42578125" style="337" customWidth="1"/>
    <col min="19" max="16384" width="9" style="337"/>
  </cols>
  <sheetData>
    <row r="1" spans="1:18" s="338" customFormat="1" ht="14.25" x14ac:dyDescent="0.3">
      <c r="A1" s="339"/>
      <c r="B1" s="938" t="s">
        <v>712</v>
      </c>
      <c r="C1" s="938"/>
      <c r="D1" s="363"/>
      <c r="H1" s="401"/>
    </row>
    <row r="2" spans="1:18" ht="34.9" customHeight="1" x14ac:dyDescent="0.25">
      <c r="A2" s="340"/>
      <c r="B2" s="939" t="s">
        <v>671</v>
      </c>
      <c r="C2" s="939"/>
      <c r="D2" s="939"/>
      <c r="E2" s="939"/>
      <c r="F2" s="939"/>
      <c r="G2" s="939"/>
      <c r="H2" s="939"/>
      <c r="I2" s="939"/>
      <c r="J2" s="939"/>
      <c r="K2" s="939"/>
      <c r="L2" s="939"/>
      <c r="M2" s="939"/>
      <c r="N2" s="939"/>
      <c r="O2" s="939"/>
      <c r="P2" s="939"/>
      <c r="Q2" s="939"/>
      <c r="R2" s="340"/>
    </row>
    <row r="3" spans="1:18" x14ac:dyDescent="0.35">
      <c r="C3" s="343"/>
      <c r="D3" s="366"/>
    </row>
    <row r="4" spans="1:18" s="368" customFormat="1" ht="15" x14ac:dyDescent="0.3">
      <c r="A4" s="344" t="s">
        <v>259</v>
      </c>
      <c r="B4" s="367" t="s">
        <v>260</v>
      </c>
      <c r="C4" s="345" t="s">
        <v>261</v>
      </c>
      <c r="D4" s="344" t="s">
        <v>262</v>
      </c>
      <c r="E4" s="344" t="s">
        <v>263</v>
      </c>
      <c r="F4" s="364" t="s">
        <v>264</v>
      </c>
      <c r="G4" s="344" t="s">
        <v>265</v>
      </c>
      <c r="H4" s="403" t="s">
        <v>266</v>
      </c>
      <c r="I4" s="344" t="s">
        <v>267</v>
      </c>
      <c r="J4" s="344" t="s">
        <v>268</v>
      </c>
      <c r="K4" s="364" t="s">
        <v>269</v>
      </c>
      <c r="L4" s="344" t="s">
        <v>270</v>
      </c>
      <c r="M4" s="364" t="s">
        <v>271</v>
      </c>
      <c r="N4" s="364" t="s">
        <v>272</v>
      </c>
      <c r="O4" s="364" t="s">
        <v>273</v>
      </c>
      <c r="P4" s="364" t="s">
        <v>274</v>
      </c>
      <c r="Q4" s="344" t="s">
        <v>275</v>
      </c>
      <c r="R4" s="344" t="s">
        <v>276</v>
      </c>
    </row>
    <row r="5" spans="1:18" s="369" customFormat="1" ht="19.899999999999999" customHeight="1" x14ac:dyDescent="0.35">
      <c r="A5" s="930" t="s">
        <v>0</v>
      </c>
      <c r="B5" s="930" t="s">
        <v>1</v>
      </c>
      <c r="C5" s="931" t="s">
        <v>2</v>
      </c>
      <c r="D5" s="932" t="s">
        <v>277</v>
      </c>
      <c r="E5" s="933" t="s">
        <v>278</v>
      </c>
      <c r="F5" s="933"/>
      <c r="G5" s="933"/>
      <c r="H5" s="933"/>
      <c r="I5" s="933"/>
      <c r="J5" s="934" t="s">
        <v>279</v>
      </c>
      <c r="K5" s="934"/>
      <c r="L5" s="934"/>
      <c r="M5" s="935" t="s">
        <v>280</v>
      </c>
      <c r="N5" s="936" t="s">
        <v>281</v>
      </c>
      <c r="O5" s="936"/>
      <c r="P5" s="936"/>
      <c r="Q5" s="936"/>
      <c r="R5" s="937" t="s">
        <v>282</v>
      </c>
    </row>
    <row r="6" spans="1:18" s="369" customFormat="1" ht="84.6" customHeight="1" x14ac:dyDescent="0.25">
      <c r="A6" s="930"/>
      <c r="B6" s="930"/>
      <c r="C6" s="931"/>
      <c r="D6" s="931"/>
      <c r="E6" s="360" t="s">
        <v>283</v>
      </c>
      <c r="F6" s="361" t="s">
        <v>284</v>
      </c>
      <c r="G6" s="370" t="s">
        <v>285</v>
      </c>
      <c r="H6" s="404" t="s">
        <v>286</v>
      </c>
      <c r="I6" s="361" t="s">
        <v>287</v>
      </c>
      <c r="J6" s="361" t="s">
        <v>288</v>
      </c>
      <c r="K6" s="361" t="s">
        <v>289</v>
      </c>
      <c r="L6" s="362" t="s">
        <v>290</v>
      </c>
      <c r="M6" s="935"/>
      <c r="N6" s="371" t="s">
        <v>291</v>
      </c>
      <c r="O6" s="361" t="s">
        <v>292</v>
      </c>
      <c r="P6" s="361" t="s">
        <v>293</v>
      </c>
      <c r="Q6" s="362" t="s">
        <v>294</v>
      </c>
      <c r="R6" s="937"/>
    </row>
    <row r="7" spans="1:18" s="369" customFormat="1" ht="36" x14ac:dyDescent="0.35">
      <c r="A7" s="372">
        <v>1</v>
      </c>
      <c r="B7" s="373">
        <v>1</v>
      </c>
      <c r="C7" s="374" t="s">
        <v>19</v>
      </c>
      <c r="D7" s="375" t="s">
        <v>269</v>
      </c>
      <c r="E7" s="376">
        <v>242732</v>
      </c>
      <c r="F7" s="377"/>
      <c r="G7" s="378"/>
      <c r="H7" s="405"/>
      <c r="I7" s="377"/>
      <c r="J7" s="377"/>
      <c r="K7" s="377"/>
      <c r="L7" s="379"/>
      <c r="M7" s="380">
        <f>SUM(E7:L7)</f>
        <v>242732</v>
      </c>
      <c r="N7" s="381"/>
      <c r="O7" s="377"/>
      <c r="P7" s="377"/>
      <c r="Q7" s="379"/>
      <c r="R7" s="382">
        <f>SUM(M7:Q7)</f>
        <v>242732</v>
      </c>
    </row>
    <row r="8" spans="1:18" s="369" customFormat="1" ht="36" x14ac:dyDescent="0.35">
      <c r="A8" s="383"/>
      <c r="B8" s="384"/>
      <c r="C8" s="385" t="s">
        <v>21</v>
      </c>
      <c r="D8" s="354" t="s">
        <v>269</v>
      </c>
      <c r="E8" s="376">
        <v>387092</v>
      </c>
      <c r="F8" s="377"/>
      <c r="G8" s="378"/>
      <c r="H8" s="405"/>
      <c r="I8" s="377"/>
      <c r="J8" s="377"/>
      <c r="K8" s="377"/>
      <c r="L8" s="379"/>
      <c r="M8" s="380">
        <f t="shared" ref="M8:M45" si="0">SUM(E8:L8)</f>
        <v>387092</v>
      </c>
      <c r="N8" s="381"/>
      <c r="O8" s="377"/>
      <c r="P8" s="377"/>
      <c r="Q8" s="379"/>
      <c r="R8" s="382">
        <f>SUM(M8:Q8)</f>
        <v>387092</v>
      </c>
    </row>
    <row r="9" spans="1:18" s="369" customFormat="1" ht="36" x14ac:dyDescent="0.35">
      <c r="A9" s="383"/>
      <c r="B9" s="384"/>
      <c r="C9" s="385" t="s">
        <v>23</v>
      </c>
      <c r="D9" s="354" t="s">
        <v>269</v>
      </c>
      <c r="E9" s="376">
        <v>523189</v>
      </c>
      <c r="F9" s="377"/>
      <c r="G9" s="378"/>
      <c r="H9" s="405"/>
      <c r="I9" s="377"/>
      <c r="J9" s="377"/>
      <c r="K9" s="377"/>
      <c r="L9" s="379"/>
      <c r="M9" s="380">
        <f t="shared" si="0"/>
        <v>523189</v>
      </c>
      <c r="N9" s="381"/>
      <c r="O9" s="377"/>
      <c r="P9" s="377"/>
      <c r="Q9" s="379"/>
      <c r="R9" s="382">
        <f>SUM(M9:Q9)</f>
        <v>523189</v>
      </c>
    </row>
    <row r="10" spans="1:18" s="369" customFormat="1" ht="36" x14ac:dyDescent="0.35">
      <c r="A10" s="383"/>
      <c r="B10" s="384"/>
      <c r="C10" s="385" t="s">
        <v>25</v>
      </c>
      <c r="D10" s="354" t="s">
        <v>269</v>
      </c>
      <c r="E10" s="376">
        <v>24792</v>
      </c>
      <c r="F10" s="377"/>
      <c r="G10" s="378"/>
      <c r="H10" s="405"/>
      <c r="I10" s="377"/>
      <c r="J10" s="377"/>
      <c r="K10" s="377"/>
      <c r="L10" s="379"/>
      <c r="M10" s="380">
        <f t="shared" si="0"/>
        <v>24792</v>
      </c>
      <c r="N10" s="381"/>
      <c r="O10" s="377"/>
      <c r="P10" s="377"/>
      <c r="Q10" s="379"/>
      <c r="R10" s="382">
        <f>SUM(M10:Q10)</f>
        <v>24792</v>
      </c>
    </row>
    <row r="11" spans="1:18" ht="18" hidden="1" customHeight="1" x14ac:dyDescent="0.35">
      <c r="A11" s="346"/>
      <c r="B11" s="347"/>
      <c r="C11" s="386" t="s">
        <v>295</v>
      </c>
      <c r="D11" s="387" t="s">
        <v>269</v>
      </c>
      <c r="E11" s="365"/>
      <c r="F11" s="365"/>
      <c r="G11" s="365"/>
      <c r="H11" s="406"/>
      <c r="I11" s="365"/>
      <c r="J11" s="365"/>
      <c r="K11" s="365"/>
      <c r="L11" s="388"/>
      <c r="M11" s="380">
        <f t="shared" si="0"/>
        <v>0</v>
      </c>
      <c r="N11" s="389"/>
      <c r="O11" s="365"/>
      <c r="P11" s="365"/>
      <c r="Q11" s="388"/>
      <c r="R11" s="390"/>
    </row>
    <row r="12" spans="1:18" ht="18" hidden="1" customHeight="1" x14ac:dyDescent="0.35">
      <c r="A12" s="346"/>
      <c r="B12" s="353"/>
      <c r="C12" s="350" t="s">
        <v>296</v>
      </c>
      <c r="D12" s="354" t="s">
        <v>269</v>
      </c>
      <c r="E12" s="365"/>
      <c r="F12" s="365"/>
      <c r="G12" s="365"/>
      <c r="H12" s="406"/>
      <c r="I12" s="365"/>
      <c r="J12" s="365"/>
      <c r="K12" s="365"/>
      <c r="L12" s="388"/>
      <c r="M12" s="380">
        <f t="shared" si="0"/>
        <v>0</v>
      </c>
      <c r="N12" s="389"/>
      <c r="O12" s="365"/>
      <c r="P12" s="365"/>
      <c r="Q12" s="388"/>
      <c r="R12" s="390"/>
    </row>
    <row r="13" spans="1:18" ht="18" customHeight="1" x14ac:dyDescent="0.35">
      <c r="A13" s="346"/>
      <c r="B13" s="353"/>
      <c r="C13" s="350" t="s">
        <v>297</v>
      </c>
      <c r="D13" s="354" t="s">
        <v>269</v>
      </c>
      <c r="E13" s="365"/>
      <c r="F13" s="365"/>
      <c r="G13" s="365">
        <v>265746</v>
      </c>
      <c r="H13" s="406"/>
      <c r="I13" s="365"/>
      <c r="J13" s="365"/>
      <c r="K13" s="365"/>
      <c r="L13" s="388"/>
      <c r="M13" s="380">
        <f t="shared" si="0"/>
        <v>265746</v>
      </c>
      <c r="N13" s="389"/>
      <c r="O13" s="365"/>
      <c r="P13" s="365"/>
      <c r="Q13" s="388"/>
      <c r="R13" s="390">
        <f t="shared" ref="R13:R47" si="1">SUM(M13:Q13)</f>
        <v>265746</v>
      </c>
    </row>
    <row r="14" spans="1:18" ht="18" customHeight="1" x14ac:dyDescent="0.35">
      <c r="A14" s="346"/>
      <c r="B14" s="353"/>
      <c r="C14" s="350" t="s">
        <v>298</v>
      </c>
      <c r="D14" s="354" t="s">
        <v>269</v>
      </c>
      <c r="E14" s="365"/>
      <c r="F14" s="365"/>
      <c r="G14" s="365">
        <v>50583</v>
      </c>
      <c r="H14" s="406"/>
      <c r="I14" s="365"/>
      <c r="J14" s="365"/>
      <c r="K14" s="365"/>
      <c r="L14" s="388"/>
      <c r="M14" s="380">
        <f t="shared" si="0"/>
        <v>50583</v>
      </c>
      <c r="N14" s="389"/>
      <c r="O14" s="365"/>
      <c r="P14" s="365"/>
      <c r="Q14" s="388"/>
      <c r="R14" s="390">
        <f t="shared" si="1"/>
        <v>50583</v>
      </c>
    </row>
    <row r="15" spans="1:18" ht="18" customHeight="1" x14ac:dyDescent="0.35">
      <c r="A15" s="346"/>
      <c r="B15" s="353"/>
      <c r="C15" s="350" t="s">
        <v>299</v>
      </c>
      <c r="D15" s="354" t="s">
        <v>269</v>
      </c>
      <c r="E15" s="365"/>
      <c r="F15" s="365"/>
      <c r="G15" s="365">
        <v>627986</v>
      </c>
      <c r="H15" s="406"/>
      <c r="I15" s="365"/>
      <c r="J15" s="365"/>
      <c r="K15" s="365"/>
      <c r="L15" s="388"/>
      <c r="M15" s="380">
        <f t="shared" si="0"/>
        <v>627986</v>
      </c>
      <c r="N15" s="389"/>
      <c r="O15" s="365"/>
      <c r="P15" s="365"/>
      <c r="Q15" s="388"/>
      <c r="R15" s="390">
        <f t="shared" si="1"/>
        <v>627986</v>
      </c>
    </row>
    <row r="16" spans="1:18" ht="18" customHeight="1" x14ac:dyDescent="0.35">
      <c r="A16" s="346"/>
      <c r="B16" s="353"/>
      <c r="C16" s="350" t="s">
        <v>300</v>
      </c>
      <c r="D16" s="354" t="s">
        <v>269</v>
      </c>
      <c r="E16" s="365"/>
      <c r="F16" s="365"/>
      <c r="G16" s="365">
        <v>48407</v>
      </c>
      <c r="H16" s="406"/>
      <c r="I16" s="365"/>
      <c r="J16" s="365"/>
      <c r="K16" s="365"/>
      <c r="L16" s="388"/>
      <c r="M16" s="380">
        <f t="shared" si="0"/>
        <v>48407</v>
      </c>
      <c r="N16" s="389"/>
      <c r="O16" s="365"/>
      <c r="P16" s="365"/>
      <c r="Q16" s="388"/>
      <c r="R16" s="390">
        <f t="shared" si="1"/>
        <v>48407</v>
      </c>
    </row>
    <row r="17" spans="1:18" ht="18" customHeight="1" x14ac:dyDescent="0.35">
      <c r="A17" s="346"/>
      <c r="B17" s="353"/>
      <c r="C17" s="350" t="s">
        <v>301</v>
      </c>
      <c r="D17" s="354" t="s">
        <v>269</v>
      </c>
      <c r="E17" s="365"/>
      <c r="F17" s="365"/>
      <c r="G17" s="365">
        <v>545</v>
      </c>
      <c r="H17" s="406"/>
      <c r="I17" s="365"/>
      <c r="J17" s="365"/>
      <c r="K17" s="365"/>
      <c r="L17" s="388"/>
      <c r="M17" s="380">
        <f t="shared" si="0"/>
        <v>545</v>
      </c>
      <c r="N17" s="389"/>
      <c r="O17" s="365"/>
      <c r="P17" s="365"/>
      <c r="Q17" s="388"/>
      <c r="R17" s="390">
        <f t="shared" si="1"/>
        <v>545</v>
      </c>
    </row>
    <row r="18" spans="1:18" ht="18" customHeight="1" x14ac:dyDescent="0.35">
      <c r="A18" s="346"/>
      <c r="B18" s="353"/>
      <c r="C18" s="350" t="s">
        <v>302</v>
      </c>
      <c r="D18" s="354" t="s">
        <v>269</v>
      </c>
      <c r="E18" s="365"/>
      <c r="F18" s="365"/>
      <c r="G18" s="365">
        <v>2283</v>
      </c>
      <c r="H18" s="406"/>
      <c r="I18" s="365"/>
      <c r="J18" s="365"/>
      <c r="K18" s="365"/>
      <c r="L18" s="388"/>
      <c r="M18" s="380">
        <f t="shared" si="0"/>
        <v>2283</v>
      </c>
      <c r="N18" s="389"/>
      <c r="O18" s="365"/>
      <c r="P18" s="365"/>
      <c r="Q18" s="388"/>
      <c r="R18" s="390">
        <f t="shared" si="1"/>
        <v>2283</v>
      </c>
    </row>
    <row r="19" spans="1:18" ht="18" customHeight="1" x14ac:dyDescent="0.35">
      <c r="A19" s="346"/>
      <c r="B19" s="353"/>
      <c r="C19" s="350" t="s">
        <v>558</v>
      </c>
      <c r="D19" s="354" t="s">
        <v>269</v>
      </c>
      <c r="E19" s="365"/>
      <c r="F19" s="365"/>
      <c r="G19" s="365">
        <v>2914</v>
      </c>
      <c r="H19" s="406"/>
      <c r="I19" s="365"/>
      <c r="J19" s="365"/>
      <c r="K19" s="365"/>
      <c r="L19" s="388"/>
      <c r="M19" s="380">
        <f t="shared" si="0"/>
        <v>2914</v>
      </c>
      <c r="N19" s="389"/>
      <c r="O19" s="365"/>
      <c r="P19" s="365"/>
      <c r="Q19" s="388"/>
      <c r="R19" s="390">
        <f t="shared" si="1"/>
        <v>2914</v>
      </c>
    </row>
    <row r="20" spans="1:18" ht="18" customHeight="1" x14ac:dyDescent="0.35">
      <c r="A20" s="351"/>
      <c r="B20" s="352"/>
      <c r="C20" s="348" t="s">
        <v>303</v>
      </c>
      <c r="D20" s="354" t="s">
        <v>269</v>
      </c>
      <c r="E20" s="365"/>
      <c r="F20" s="365">
        <v>36281</v>
      </c>
      <c r="G20" s="365"/>
      <c r="H20" s="406"/>
      <c r="I20" s="365"/>
      <c r="J20" s="365"/>
      <c r="K20" s="365"/>
      <c r="L20" s="388"/>
      <c r="M20" s="380">
        <f t="shared" si="0"/>
        <v>36281</v>
      </c>
      <c r="N20" s="389"/>
      <c r="O20" s="365"/>
      <c r="P20" s="365"/>
      <c r="Q20" s="388"/>
      <c r="R20" s="390">
        <f t="shared" si="1"/>
        <v>36281</v>
      </c>
    </row>
    <row r="21" spans="1:18" ht="18" customHeight="1" x14ac:dyDescent="0.35">
      <c r="A21" s="346"/>
      <c r="B21" s="349"/>
      <c r="C21" s="350" t="s">
        <v>304</v>
      </c>
      <c r="D21" s="354" t="s">
        <v>269</v>
      </c>
      <c r="E21" s="365"/>
      <c r="F21" s="365">
        <v>8587</v>
      </c>
      <c r="G21" s="365"/>
      <c r="H21" s="406"/>
      <c r="I21" s="365"/>
      <c r="J21" s="365"/>
      <c r="K21" s="365"/>
      <c r="L21" s="388"/>
      <c r="M21" s="380">
        <f t="shared" si="0"/>
        <v>8587</v>
      </c>
      <c r="N21" s="389"/>
      <c r="O21" s="365"/>
      <c r="P21" s="365"/>
      <c r="Q21" s="388"/>
      <c r="R21" s="390">
        <f t="shared" si="1"/>
        <v>8587</v>
      </c>
    </row>
    <row r="22" spans="1:18" ht="18" customHeight="1" x14ac:dyDescent="0.35">
      <c r="A22" s="346"/>
      <c r="B22" s="353"/>
      <c r="C22" s="350" t="s">
        <v>665</v>
      </c>
      <c r="D22" s="354" t="s">
        <v>308</v>
      </c>
      <c r="E22" s="365"/>
      <c r="F22" s="365"/>
      <c r="G22" s="365"/>
      <c r="H22" s="406">
        <v>2250</v>
      </c>
      <c r="I22" s="365"/>
      <c r="J22" s="365"/>
      <c r="K22" s="365"/>
      <c r="L22" s="388"/>
      <c r="M22" s="380">
        <f t="shared" si="0"/>
        <v>2250</v>
      </c>
      <c r="N22" s="389"/>
      <c r="O22" s="365"/>
      <c r="P22" s="365"/>
      <c r="Q22" s="388"/>
      <c r="R22" s="390">
        <f t="shared" si="1"/>
        <v>2250</v>
      </c>
    </row>
    <row r="23" spans="1:18" ht="18" customHeight="1" x14ac:dyDescent="0.35">
      <c r="A23" s="346"/>
      <c r="B23" s="353"/>
      <c r="C23" s="350" t="s">
        <v>669</v>
      </c>
      <c r="D23" s="354" t="s">
        <v>308</v>
      </c>
      <c r="E23" s="365"/>
      <c r="F23" s="365"/>
      <c r="G23" s="365"/>
      <c r="H23" s="406">
        <v>23110</v>
      </c>
      <c r="I23" s="365"/>
      <c r="J23" s="365"/>
      <c r="K23" s="365"/>
      <c r="L23" s="388"/>
      <c r="M23" s="380">
        <f t="shared" si="0"/>
        <v>23110</v>
      </c>
      <c r="N23" s="389"/>
      <c r="O23" s="365"/>
      <c r="P23" s="365"/>
      <c r="Q23" s="388"/>
      <c r="R23" s="390">
        <f t="shared" si="1"/>
        <v>23110</v>
      </c>
    </row>
    <row r="24" spans="1:18" ht="18" customHeight="1" x14ac:dyDescent="0.35">
      <c r="A24" s="346"/>
      <c r="B24" s="353"/>
      <c r="C24" s="350" t="s">
        <v>578</v>
      </c>
      <c r="D24" s="354" t="s">
        <v>308</v>
      </c>
      <c r="E24" s="365"/>
      <c r="F24" s="365"/>
      <c r="G24" s="365"/>
      <c r="H24" s="406">
        <v>9702</v>
      </c>
      <c r="I24" s="365"/>
      <c r="J24" s="365"/>
      <c r="K24" s="365"/>
      <c r="L24" s="388"/>
      <c r="M24" s="380">
        <f t="shared" si="0"/>
        <v>9702</v>
      </c>
      <c r="N24" s="389"/>
      <c r="O24" s="365"/>
      <c r="P24" s="365"/>
      <c r="Q24" s="388"/>
      <c r="R24" s="390">
        <f t="shared" si="1"/>
        <v>9702</v>
      </c>
    </row>
    <row r="25" spans="1:18" ht="18" customHeight="1" x14ac:dyDescent="0.35">
      <c r="A25" s="346"/>
      <c r="B25" s="353"/>
      <c r="C25" s="350" t="s">
        <v>566</v>
      </c>
      <c r="D25" s="354" t="s">
        <v>269</v>
      </c>
      <c r="E25" s="365"/>
      <c r="F25" s="365"/>
      <c r="G25" s="365"/>
      <c r="H25" s="406">
        <v>600</v>
      </c>
      <c r="I25" s="365"/>
      <c r="J25" s="365"/>
      <c r="K25" s="365"/>
      <c r="L25" s="388"/>
      <c r="M25" s="380">
        <f t="shared" si="0"/>
        <v>600</v>
      </c>
      <c r="N25" s="389"/>
      <c r="O25" s="365"/>
      <c r="P25" s="365"/>
      <c r="Q25" s="388"/>
      <c r="R25" s="390">
        <f t="shared" si="1"/>
        <v>600</v>
      </c>
    </row>
    <row r="26" spans="1:18" ht="18" customHeight="1" x14ac:dyDescent="0.35">
      <c r="A26" s="346"/>
      <c r="B26" s="353"/>
      <c r="C26" s="350" t="s">
        <v>305</v>
      </c>
      <c r="D26" s="354" t="s">
        <v>269</v>
      </c>
      <c r="E26" s="365"/>
      <c r="F26" s="365"/>
      <c r="G26" s="365"/>
      <c r="H26" s="406">
        <v>300</v>
      </c>
      <c r="I26" s="365"/>
      <c r="J26" s="365"/>
      <c r="K26" s="365"/>
      <c r="L26" s="388"/>
      <c r="M26" s="380">
        <f t="shared" si="0"/>
        <v>300</v>
      </c>
      <c r="N26" s="389"/>
      <c r="O26" s="365"/>
      <c r="P26" s="365"/>
      <c r="Q26" s="388"/>
      <c r="R26" s="390">
        <f t="shared" si="1"/>
        <v>300</v>
      </c>
    </row>
    <row r="27" spans="1:18" ht="36" x14ac:dyDescent="0.35">
      <c r="A27" s="346"/>
      <c r="B27" s="353"/>
      <c r="C27" s="350" t="s">
        <v>306</v>
      </c>
      <c r="D27" s="354" t="s">
        <v>269</v>
      </c>
      <c r="E27" s="365"/>
      <c r="F27" s="365"/>
      <c r="G27" s="365"/>
      <c r="H27" s="406">
        <v>14350</v>
      </c>
      <c r="I27" s="365"/>
      <c r="J27" s="365"/>
      <c r="K27" s="365"/>
      <c r="L27" s="388"/>
      <c r="M27" s="380">
        <f t="shared" si="0"/>
        <v>14350</v>
      </c>
      <c r="N27" s="389"/>
      <c r="O27" s="365"/>
      <c r="P27" s="365"/>
      <c r="Q27" s="388"/>
      <c r="R27" s="390">
        <f t="shared" si="1"/>
        <v>14350</v>
      </c>
    </row>
    <row r="28" spans="1:18" ht="36" x14ac:dyDescent="0.35">
      <c r="A28" s="346"/>
      <c r="B28" s="353"/>
      <c r="C28" s="350" t="s">
        <v>563</v>
      </c>
      <c r="D28" s="354" t="s">
        <v>269</v>
      </c>
      <c r="E28" s="365"/>
      <c r="F28" s="365"/>
      <c r="G28" s="365"/>
      <c r="H28" s="406">
        <v>2210</v>
      </c>
      <c r="I28" s="365"/>
      <c r="J28" s="365"/>
      <c r="K28" s="365"/>
      <c r="L28" s="388"/>
      <c r="M28" s="380">
        <f t="shared" si="0"/>
        <v>2210</v>
      </c>
      <c r="N28" s="389"/>
      <c r="O28" s="365"/>
      <c r="P28" s="365"/>
      <c r="Q28" s="388"/>
      <c r="R28" s="390">
        <f t="shared" si="1"/>
        <v>2210</v>
      </c>
    </row>
    <row r="29" spans="1:18" ht="18" customHeight="1" x14ac:dyDescent="0.35">
      <c r="A29" s="346"/>
      <c r="B29" s="349"/>
      <c r="C29" s="350" t="s">
        <v>307</v>
      </c>
      <c r="D29" s="391" t="s">
        <v>269</v>
      </c>
      <c r="E29" s="365"/>
      <c r="F29" s="365"/>
      <c r="G29" s="365"/>
      <c r="H29" s="631">
        <v>127000</v>
      </c>
      <c r="I29" s="365"/>
      <c r="J29" s="365"/>
      <c r="K29" s="365"/>
      <c r="L29" s="388"/>
      <c r="M29" s="380">
        <f t="shared" si="0"/>
        <v>127000</v>
      </c>
      <c r="N29" s="389"/>
      <c r="O29" s="365"/>
      <c r="P29" s="365"/>
      <c r="Q29" s="388"/>
      <c r="R29" s="390">
        <f t="shared" si="1"/>
        <v>127000</v>
      </c>
    </row>
    <row r="30" spans="1:18" ht="18" customHeight="1" x14ac:dyDescent="0.35">
      <c r="A30" s="346"/>
      <c r="B30" s="349"/>
      <c r="C30" s="350" t="s">
        <v>309</v>
      </c>
      <c r="D30" s="354" t="s">
        <v>269</v>
      </c>
      <c r="E30" s="365"/>
      <c r="F30" s="365"/>
      <c r="G30" s="365"/>
      <c r="H30" s="406">
        <v>36943</v>
      </c>
      <c r="I30" s="365"/>
      <c r="J30" s="365"/>
      <c r="K30" s="365"/>
      <c r="L30" s="388"/>
      <c r="M30" s="380">
        <f t="shared" si="0"/>
        <v>36943</v>
      </c>
      <c r="N30" s="389"/>
      <c r="O30" s="365"/>
      <c r="P30" s="365"/>
      <c r="Q30" s="388"/>
      <c r="R30" s="390">
        <f t="shared" si="1"/>
        <v>36943</v>
      </c>
    </row>
    <row r="31" spans="1:18" ht="18" customHeight="1" x14ac:dyDescent="0.35">
      <c r="A31" s="346"/>
      <c r="B31" s="349"/>
      <c r="C31" s="350" t="s">
        <v>310</v>
      </c>
      <c r="D31" s="354" t="s">
        <v>269</v>
      </c>
      <c r="E31" s="365"/>
      <c r="F31" s="365"/>
      <c r="G31" s="365"/>
      <c r="H31" s="406">
        <v>19966</v>
      </c>
      <c r="I31" s="365"/>
      <c r="J31" s="365"/>
      <c r="K31" s="365"/>
      <c r="L31" s="388"/>
      <c r="M31" s="380">
        <f t="shared" si="0"/>
        <v>19966</v>
      </c>
      <c r="N31" s="389"/>
      <c r="O31" s="365"/>
      <c r="P31" s="365"/>
      <c r="Q31" s="388"/>
      <c r="R31" s="390">
        <f t="shared" si="1"/>
        <v>19966</v>
      </c>
    </row>
    <row r="32" spans="1:18" ht="18" hidden="1" customHeight="1" x14ac:dyDescent="0.35">
      <c r="A32" s="346"/>
      <c r="B32" s="349"/>
      <c r="C32" s="350" t="s">
        <v>310</v>
      </c>
      <c r="D32" s="354" t="s">
        <v>308</v>
      </c>
      <c r="E32" s="365"/>
      <c r="F32" s="365"/>
      <c r="G32" s="365"/>
      <c r="H32" s="406"/>
      <c r="I32" s="365"/>
      <c r="J32" s="365"/>
      <c r="K32" s="365"/>
      <c r="L32" s="388"/>
      <c r="M32" s="380">
        <f t="shared" si="0"/>
        <v>0</v>
      </c>
      <c r="N32" s="389"/>
      <c r="O32" s="365"/>
      <c r="P32" s="365"/>
      <c r="Q32" s="388"/>
      <c r="R32" s="390">
        <f t="shared" si="1"/>
        <v>0</v>
      </c>
    </row>
    <row r="33" spans="1:19" ht="18" customHeight="1" x14ac:dyDescent="0.35">
      <c r="A33" s="346"/>
      <c r="B33" s="353"/>
      <c r="C33" s="350" t="s">
        <v>86</v>
      </c>
      <c r="D33" s="354" t="s">
        <v>269</v>
      </c>
      <c r="E33" s="365"/>
      <c r="F33" s="365"/>
      <c r="G33" s="365"/>
      <c r="H33" s="406">
        <v>4000</v>
      </c>
      <c r="I33" s="365"/>
      <c r="J33" s="365"/>
      <c r="K33" s="365"/>
      <c r="L33" s="388"/>
      <c r="M33" s="380">
        <f t="shared" si="0"/>
        <v>4000</v>
      </c>
      <c r="N33" s="389"/>
      <c r="O33" s="365"/>
      <c r="P33" s="365"/>
      <c r="Q33" s="388"/>
      <c r="R33" s="390">
        <f t="shared" si="1"/>
        <v>4000</v>
      </c>
    </row>
    <row r="34" spans="1:19" ht="18" customHeight="1" x14ac:dyDescent="0.35">
      <c r="A34" s="346"/>
      <c r="B34" s="353"/>
      <c r="C34" s="350" t="s">
        <v>311</v>
      </c>
      <c r="D34" s="354" t="s">
        <v>269</v>
      </c>
      <c r="E34" s="365"/>
      <c r="F34" s="365"/>
      <c r="G34" s="365"/>
      <c r="H34" s="406">
        <v>600</v>
      </c>
      <c r="I34" s="365"/>
      <c r="J34" s="365"/>
      <c r="K34" s="365"/>
      <c r="L34" s="388"/>
      <c r="M34" s="380">
        <f t="shared" si="0"/>
        <v>600</v>
      </c>
      <c r="N34" s="389"/>
      <c r="O34" s="365"/>
      <c r="P34" s="365"/>
      <c r="Q34" s="388"/>
      <c r="R34" s="390">
        <f t="shared" si="1"/>
        <v>600</v>
      </c>
    </row>
    <row r="35" spans="1:19" ht="18" customHeight="1" x14ac:dyDescent="0.35">
      <c r="A35" s="346"/>
      <c r="B35" s="353"/>
      <c r="C35" s="350" t="s">
        <v>312</v>
      </c>
      <c r="D35" s="354" t="s">
        <v>269</v>
      </c>
      <c r="E35" s="365"/>
      <c r="F35" s="365"/>
      <c r="G35" s="365"/>
      <c r="H35" s="406">
        <v>1500</v>
      </c>
      <c r="I35" s="365"/>
      <c r="J35" s="365"/>
      <c r="K35" s="365"/>
      <c r="L35" s="388"/>
      <c r="M35" s="380">
        <f t="shared" si="0"/>
        <v>1500</v>
      </c>
      <c r="N35" s="389"/>
      <c r="O35" s="365"/>
      <c r="P35" s="365"/>
      <c r="Q35" s="388"/>
      <c r="R35" s="390">
        <f t="shared" si="1"/>
        <v>1500</v>
      </c>
    </row>
    <row r="36" spans="1:19" ht="18" customHeight="1" x14ac:dyDescent="0.35">
      <c r="A36" s="346"/>
      <c r="B36" s="353"/>
      <c r="C36" s="350" t="s">
        <v>313</v>
      </c>
      <c r="D36" s="354" t="s">
        <v>308</v>
      </c>
      <c r="E36" s="365"/>
      <c r="F36" s="365"/>
      <c r="G36" s="365"/>
      <c r="H36" s="406">
        <v>548</v>
      </c>
      <c r="I36" s="365"/>
      <c r="J36" s="365"/>
      <c r="K36" s="365"/>
      <c r="L36" s="388"/>
      <c r="M36" s="380">
        <f t="shared" si="0"/>
        <v>548</v>
      </c>
      <c r="N36" s="389"/>
      <c r="O36" s="365"/>
      <c r="P36" s="365"/>
      <c r="Q36" s="388"/>
      <c r="R36" s="390">
        <f t="shared" si="1"/>
        <v>548</v>
      </c>
    </row>
    <row r="37" spans="1:19" ht="18" hidden="1" customHeight="1" x14ac:dyDescent="0.35">
      <c r="A37" s="351"/>
      <c r="B37" s="352"/>
      <c r="C37" s="350">
        <v>0</v>
      </c>
      <c r="D37" s="354" t="s">
        <v>269</v>
      </c>
      <c r="E37" s="365"/>
      <c r="F37" s="365"/>
      <c r="G37" s="365"/>
      <c r="H37" s="406"/>
      <c r="I37" s="365"/>
      <c r="J37" s="365"/>
      <c r="K37" s="365"/>
      <c r="L37" s="388"/>
      <c r="M37" s="380">
        <f t="shared" si="0"/>
        <v>0</v>
      </c>
      <c r="N37" s="389"/>
      <c r="O37" s="365"/>
      <c r="P37" s="365"/>
      <c r="Q37" s="388"/>
      <c r="R37" s="390">
        <f t="shared" si="1"/>
        <v>0</v>
      </c>
    </row>
    <row r="38" spans="1:19" ht="18" hidden="1" customHeight="1" x14ac:dyDescent="0.35">
      <c r="A38" s="346"/>
      <c r="B38" s="353"/>
      <c r="C38" s="350" t="s">
        <v>96</v>
      </c>
      <c r="D38" s="354" t="s">
        <v>269</v>
      </c>
      <c r="E38" s="365"/>
      <c r="F38" s="365"/>
      <c r="G38" s="365"/>
      <c r="H38" s="406"/>
      <c r="I38" s="365"/>
      <c r="J38" s="365"/>
      <c r="K38" s="365"/>
      <c r="L38" s="388"/>
      <c r="M38" s="380">
        <f t="shared" si="0"/>
        <v>0</v>
      </c>
      <c r="N38" s="389"/>
      <c r="O38" s="365"/>
      <c r="P38" s="365"/>
      <c r="Q38" s="388"/>
      <c r="R38" s="390">
        <f t="shared" si="1"/>
        <v>0</v>
      </c>
    </row>
    <row r="39" spans="1:19" ht="18" customHeight="1" x14ac:dyDescent="0.35">
      <c r="A39" s="346"/>
      <c r="B39" s="353"/>
      <c r="C39" s="350" t="s">
        <v>659</v>
      </c>
      <c r="D39" s="354" t="s">
        <v>308</v>
      </c>
      <c r="E39" s="365"/>
      <c r="F39" s="365">
        <v>2377</v>
      </c>
      <c r="G39" s="365"/>
      <c r="H39" s="406"/>
      <c r="I39" s="365"/>
      <c r="J39" s="365"/>
      <c r="K39" s="365"/>
      <c r="L39" s="388"/>
      <c r="M39" s="380">
        <f t="shared" si="0"/>
        <v>2377</v>
      </c>
      <c r="N39" s="389"/>
      <c r="O39" s="365"/>
      <c r="P39" s="365"/>
      <c r="Q39" s="388"/>
      <c r="R39" s="390">
        <f t="shared" si="1"/>
        <v>2377</v>
      </c>
    </row>
    <row r="40" spans="1:19" ht="18" customHeight="1" x14ac:dyDescent="0.35">
      <c r="A40" s="346"/>
      <c r="B40" s="353"/>
      <c r="C40" s="350" t="s">
        <v>666</v>
      </c>
      <c r="D40" s="354" t="s">
        <v>308</v>
      </c>
      <c r="E40" s="365"/>
      <c r="F40" s="365">
        <v>32368</v>
      </c>
      <c r="G40" s="365"/>
      <c r="H40" s="406"/>
      <c r="I40" s="365"/>
      <c r="J40" s="365"/>
      <c r="K40" s="365"/>
      <c r="L40" s="388"/>
      <c r="M40" s="380">
        <f t="shared" si="0"/>
        <v>32368</v>
      </c>
      <c r="N40" s="389"/>
      <c r="O40" s="365"/>
      <c r="P40" s="365"/>
      <c r="Q40" s="388"/>
      <c r="R40" s="390">
        <f t="shared" si="1"/>
        <v>32368</v>
      </c>
    </row>
    <row r="41" spans="1:19" ht="18" customHeight="1" x14ac:dyDescent="0.35">
      <c r="A41" s="346"/>
      <c r="B41" s="353"/>
      <c r="C41" s="915" t="s">
        <v>705</v>
      </c>
      <c r="D41" s="354" t="s">
        <v>308</v>
      </c>
      <c r="E41" s="365"/>
      <c r="F41" s="365">
        <v>5274</v>
      </c>
      <c r="G41" s="365"/>
      <c r="H41" s="406"/>
      <c r="I41" s="365"/>
      <c r="J41" s="365"/>
      <c r="K41" s="365"/>
      <c r="L41" s="388"/>
      <c r="M41" s="380">
        <f t="shared" si="0"/>
        <v>5274</v>
      </c>
      <c r="N41" s="389"/>
      <c r="O41" s="365"/>
      <c r="P41" s="365"/>
      <c r="Q41" s="388"/>
      <c r="R41" s="390">
        <f t="shared" si="1"/>
        <v>5274</v>
      </c>
    </row>
    <row r="42" spans="1:19" ht="33.75" customHeight="1" x14ac:dyDescent="0.35">
      <c r="A42" s="346"/>
      <c r="B42" s="353"/>
      <c r="C42" s="350" t="s">
        <v>649</v>
      </c>
      <c r="D42" s="354" t="s">
        <v>308</v>
      </c>
      <c r="E42" s="365"/>
      <c r="F42" s="365">
        <v>141736</v>
      </c>
      <c r="G42" s="365"/>
      <c r="H42" s="406"/>
      <c r="I42" s="365"/>
      <c r="J42" s="365"/>
      <c r="K42" s="365"/>
      <c r="L42" s="388"/>
      <c r="M42" s="380">
        <f t="shared" si="0"/>
        <v>141736</v>
      </c>
      <c r="N42" s="389"/>
      <c r="O42" s="365"/>
      <c r="P42" s="365"/>
      <c r="Q42" s="388"/>
      <c r="R42" s="390">
        <f t="shared" si="1"/>
        <v>141736</v>
      </c>
    </row>
    <row r="43" spans="1:19" ht="18" customHeight="1" x14ac:dyDescent="0.35">
      <c r="A43" s="346"/>
      <c r="B43" s="353"/>
      <c r="C43" s="350" t="s">
        <v>667</v>
      </c>
      <c r="D43" s="354" t="s">
        <v>308</v>
      </c>
      <c r="E43" s="365"/>
      <c r="F43" s="365"/>
      <c r="G43" s="365"/>
      <c r="H43" s="406"/>
      <c r="I43" s="365"/>
      <c r="J43" s="365"/>
      <c r="K43" s="365">
        <v>85977</v>
      </c>
      <c r="L43" s="388"/>
      <c r="M43" s="380">
        <f t="shared" si="0"/>
        <v>85977</v>
      </c>
      <c r="N43" s="389"/>
      <c r="O43" s="365"/>
      <c r="P43" s="365"/>
      <c r="Q43" s="388"/>
      <c r="R43" s="390">
        <f t="shared" si="1"/>
        <v>85977</v>
      </c>
    </row>
    <row r="44" spans="1:19" ht="18" customHeight="1" x14ac:dyDescent="0.35">
      <c r="A44" s="346"/>
      <c r="B44" s="353"/>
      <c r="C44" s="350" t="s">
        <v>668</v>
      </c>
      <c r="D44" s="354" t="s">
        <v>269</v>
      </c>
      <c r="E44" s="365"/>
      <c r="F44" s="365"/>
      <c r="G44" s="365"/>
      <c r="H44" s="406"/>
      <c r="I44" s="365"/>
      <c r="J44" s="365"/>
      <c r="K44" s="365"/>
      <c r="L44" s="388"/>
      <c r="M44" s="380">
        <f t="shared" si="0"/>
        <v>0</v>
      </c>
      <c r="N44" s="389"/>
      <c r="O44" s="365"/>
      <c r="P44" s="365">
        <v>5822110</v>
      </c>
      <c r="Q44" s="388"/>
      <c r="R44" s="390">
        <f t="shared" si="1"/>
        <v>5822110</v>
      </c>
    </row>
    <row r="45" spans="1:19" ht="18" hidden="1" customHeight="1" x14ac:dyDescent="0.35">
      <c r="A45" s="346"/>
      <c r="B45" s="353"/>
      <c r="C45" s="350"/>
      <c r="D45" s="354" t="s">
        <v>308</v>
      </c>
      <c r="E45" s="365"/>
      <c r="F45" s="365"/>
      <c r="G45" s="365"/>
      <c r="H45" s="406"/>
      <c r="I45" s="365"/>
      <c r="J45" s="365"/>
      <c r="K45" s="365"/>
      <c r="L45" s="388"/>
      <c r="M45" s="380">
        <f t="shared" si="0"/>
        <v>0</v>
      </c>
      <c r="N45" s="389"/>
      <c r="O45" s="365"/>
      <c r="P45" s="365"/>
      <c r="Q45" s="388"/>
      <c r="R45" s="390">
        <f t="shared" si="1"/>
        <v>0</v>
      </c>
    </row>
    <row r="46" spans="1:19" s="393" customFormat="1" ht="54" hidden="1" x14ac:dyDescent="0.35">
      <c r="A46" s="346"/>
      <c r="B46" s="349"/>
      <c r="C46" s="350" t="s">
        <v>314</v>
      </c>
      <c r="D46" s="354" t="s">
        <v>308</v>
      </c>
      <c r="E46" s="365"/>
      <c r="F46" s="365"/>
      <c r="G46" s="365"/>
      <c r="H46" s="406"/>
      <c r="I46" s="365"/>
      <c r="J46" s="365"/>
      <c r="K46" s="365"/>
      <c r="L46" s="388"/>
      <c r="M46" s="392">
        <f>SUM(E46:L46)</f>
        <v>0</v>
      </c>
      <c r="N46" s="389"/>
      <c r="O46" s="365"/>
      <c r="P46" s="365"/>
      <c r="Q46" s="388"/>
      <c r="R46" s="390">
        <f t="shared" si="1"/>
        <v>0</v>
      </c>
    </row>
    <row r="47" spans="1:19" s="398" customFormat="1" ht="23.45" customHeight="1" x14ac:dyDescent="0.35">
      <c r="A47" s="394"/>
      <c r="B47" s="394"/>
      <c r="C47" s="355" t="s">
        <v>315</v>
      </c>
      <c r="D47" s="355"/>
      <c r="E47" s="395">
        <f t="shared" ref="E47:L47" si="2">SUM(E7:E46)</f>
        <v>1177805</v>
      </c>
      <c r="F47" s="395">
        <f t="shared" si="2"/>
        <v>226623</v>
      </c>
      <c r="G47" s="395">
        <f t="shared" si="2"/>
        <v>998464</v>
      </c>
      <c r="H47" s="407">
        <f t="shared" si="2"/>
        <v>243079</v>
      </c>
      <c r="I47" s="407">
        <f t="shared" si="2"/>
        <v>0</v>
      </c>
      <c r="J47" s="407">
        <f t="shared" si="2"/>
        <v>0</v>
      </c>
      <c r="K47" s="407">
        <f t="shared" si="2"/>
        <v>85977</v>
      </c>
      <c r="L47" s="407">
        <f t="shared" si="2"/>
        <v>0</v>
      </c>
      <c r="M47" s="772">
        <f>SUM(M7:M46)</f>
        <v>2731948</v>
      </c>
      <c r="N47" s="397"/>
      <c r="O47" s="395"/>
      <c r="P47" s="395">
        <f>SUM(P7:P46)</f>
        <v>5822110</v>
      </c>
      <c r="Q47" s="396"/>
      <c r="R47" s="771">
        <f t="shared" si="1"/>
        <v>8554058</v>
      </c>
    </row>
    <row r="48" spans="1:19" x14ac:dyDescent="0.35">
      <c r="C48" s="624"/>
      <c r="D48" s="624"/>
      <c r="E48" s="626"/>
      <c r="F48" s="626"/>
      <c r="G48" s="626"/>
      <c r="H48" s="626"/>
      <c r="I48" s="626"/>
      <c r="J48" s="626"/>
      <c r="K48" s="626"/>
      <c r="L48" s="626"/>
      <c r="M48" s="626"/>
      <c r="N48" s="626"/>
      <c r="O48" s="626"/>
      <c r="P48" s="626"/>
      <c r="Q48" s="626"/>
      <c r="R48" s="630">
        <f>SUM('4. Int.bev.'!R31)</f>
        <v>1218690</v>
      </c>
      <c r="S48" s="626"/>
    </row>
    <row r="49" spans="1:19" s="398" customFormat="1" x14ac:dyDescent="0.35">
      <c r="A49" s="399"/>
      <c r="B49" s="400"/>
      <c r="C49" s="620"/>
      <c r="D49" s="620"/>
      <c r="E49" s="622"/>
      <c r="F49" s="622"/>
      <c r="G49" s="623"/>
      <c r="H49" s="623"/>
      <c r="I49" s="622"/>
      <c r="J49" s="622"/>
      <c r="K49" s="622"/>
      <c r="L49" s="622"/>
      <c r="M49" s="622"/>
      <c r="N49" s="622"/>
      <c r="O49" s="622"/>
      <c r="P49" s="622"/>
      <c r="Q49" s="622"/>
      <c r="R49" s="621">
        <f>SUM(R47:R48)</f>
        <v>9772748</v>
      </c>
      <c r="S49" s="622"/>
    </row>
    <row r="50" spans="1:19" x14ac:dyDescent="0.35">
      <c r="C50" s="624"/>
      <c r="D50" s="624"/>
      <c r="E50" s="625"/>
      <c r="F50" s="626"/>
      <c r="G50" s="627"/>
      <c r="H50" s="628"/>
      <c r="I50" s="626"/>
      <c r="J50" s="626"/>
      <c r="K50" s="626"/>
      <c r="L50" s="626"/>
      <c r="M50" s="626"/>
      <c r="N50" s="626"/>
      <c r="O50" s="626"/>
      <c r="P50" s="626"/>
      <c r="Q50" s="626"/>
      <c r="R50" s="626"/>
      <c r="S50" s="626"/>
    </row>
    <row r="51" spans="1:19" x14ac:dyDescent="0.35">
      <c r="C51" s="624"/>
      <c r="D51" s="624"/>
      <c r="E51" s="625"/>
      <c r="F51" s="626"/>
      <c r="G51" s="627"/>
      <c r="H51" s="628"/>
      <c r="I51" s="626"/>
      <c r="J51" s="626"/>
      <c r="K51" s="626"/>
      <c r="L51" s="626"/>
      <c r="M51" s="626"/>
      <c r="N51" s="626"/>
      <c r="O51" s="626"/>
      <c r="P51" s="626"/>
      <c r="Q51" s="626"/>
      <c r="R51" s="626"/>
      <c r="S51" s="626"/>
    </row>
    <row r="52" spans="1:19" x14ac:dyDescent="0.35">
      <c r="C52" s="624"/>
      <c r="D52" s="624"/>
      <c r="E52" s="625"/>
      <c r="F52" s="626"/>
      <c r="G52" s="623"/>
      <c r="H52" s="629"/>
      <c r="I52" s="626"/>
      <c r="J52" s="626"/>
      <c r="K52" s="626"/>
      <c r="L52" s="626"/>
      <c r="M52" s="626"/>
      <c r="N52" s="626"/>
      <c r="O52" s="626"/>
      <c r="P52" s="626"/>
      <c r="Q52" s="626"/>
      <c r="R52" s="626"/>
      <c r="S52" s="626"/>
    </row>
    <row r="53" spans="1:19" s="398" customFormat="1" x14ac:dyDescent="0.35">
      <c r="A53" s="399"/>
      <c r="B53" s="400"/>
      <c r="C53" s="620"/>
      <c r="D53" s="620"/>
      <c r="E53" s="621"/>
      <c r="F53" s="622"/>
      <c r="G53" s="623"/>
      <c r="H53" s="623"/>
      <c r="I53" s="622"/>
      <c r="J53" s="622"/>
      <c r="K53" s="622"/>
      <c r="L53" s="622"/>
      <c r="M53" s="622"/>
      <c r="N53" s="622"/>
      <c r="O53" s="622"/>
      <c r="P53" s="622"/>
      <c r="Q53" s="622"/>
      <c r="R53" s="622"/>
      <c r="S53" s="622"/>
    </row>
    <row r="54" spans="1:19" x14ac:dyDescent="0.35">
      <c r="C54" s="620" t="s">
        <v>307</v>
      </c>
      <c r="D54" s="620"/>
      <c r="E54" s="622"/>
      <c r="F54" s="622"/>
      <c r="G54" s="623" t="s">
        <v>567</v>
      </c>
      <c r="H54" s="623"/>
      <c r="I54" s="626"/>
      <c r="J54" s="626"/>
      <c r="K54" s="626"/>
      <c r="L54" s="626"/>
      <c r="M54" s="626"/>
      <c r="N54" s="626"/>
      <c r="O54" s="626"/>
      <c r="P54" s="626"/>
      <c r="Q54" s="626"/>
      <c r="R54" s="626"/>
      <c r="S54" s="626"/>
    </row>
    <row r="55" spans="1:19" x14ac:dyDescent="0.35">
      <c r="C55" s="624" t="s">
        <v>553</v>
      </c>
      <c r="D55" s="624"/>
      <c r="E55" s="625">
        <v>91847952</v>
      </c>
      <c r="F55" s="626"/>
      <c r="G55" s="627" t="s">
        <v>561</v>
      </c>
      <c r="H55" s="628">
        <v>416706</v>
      </c>
      <c r="I55" s="626"/>
      <c r="J55" s="626"/>
      <c r="K55" s="626"/>
      <c r="L55" s="626"/>
      <c r="M55" s="626"/>
      <c r="N55" s="626"/>
      <c r="O55" s="626"/>
      <c r="P55" s="626"/>
      <c r="Q55" s="626"/>
      <c r="R55" s="626"/>
      <c r="S55" s="626"/>
    </row>
    <row r="56" spans="1:19" x14ac:dyDescent="0.35">
      <c r="C56" s="624" t="s">
        <v>554</v>
      </c>
      <c r="D56" s="624"/>
      <c r="E56" s="625">
        <v>32911752</v>
      </c>
      <c r="F56" s="626"/>
      <c r="G56" s="627" t="s">
        <v>562</v>
      </c>
      <c r="H56" s="628">
        <v>178253</v>
      </c>
      <c r="I56" s="626"/>
      <c r="J56" s="626"/>
      <c r="K56" s="626"/>
      <c r="L56" s="626"/>
      <c r="M56" s="626"/>
      <c r="N56" s="626"/>
      <c r="O56" s="626"/>
      <c r="P56" s="626"/>
      <c r="Q56" s="626"/>
      <c r="R56" s="626"/>
      <c r="S56" s="626"/>
    </row>
    <row r="57" spans="1:19" x14ac:dyDescent="0.35">
      <c r="C57" s="624" t="s">
        <v>555</v>
      </c>
      <c r="D57" s="624"/>
      <c r="E57" s="625">
        <v>3933171</v>
      </c>
      <c r="F57" s="626"/>
      <c r="G57" s="627" t="s">
        <v>569</v>
      </c>
      <c r="H57" s="628">
        <v>300000</v>
      </c>
      <c r="I57" s="626"/>
      <c r="J57" s="626"/>
      <c r="K57" s="626"/>
      <c r="L57" s="626"/>
      <c r="M57" s="626"/>
      <c r="N57" s="626"/>
      <c r="O57" s="626"/>
      <c r="P57" s="626"/>
      <c r="Q57" s="626"/>
      <c r="R57" s="626"/>
      <c r="S57" s="626"/>
    </row>
    <row r="58" spans="1:19" x14ac:dyDescent="0.35">
      <c r="C58" s="620" t="s">
        <v>552</v>
      </c>
      <c r="D58" s="620"/>
      <c r="E58" s="621">
        <f>SUM(E55:E57)</f>
        <v>128692875</v>
      </c>
      <c r="F58" s="622"/>
      <c r="G58" s="623"/>
      <c r="H58" s="629">
        <f>SUM(H55:H57)</f>
        <v>894959</v>
      </c>
      <c r="I58" s="626"/>
      <c r="J58" s="626"/>
      <c r="K58" s="626"/>
      <c r="L58" s="626"/>
      <c r="M58" s="626"/>
      <c r="N58" s="626"/>
      <c r="O58" s="626"/>
      <c r="P58" s="626"/>
      <c r="Q58" s="626"/>
      <c r="R58" s="626"/>
      <c r="S58" s="626"/>
    </row>
    <row r="59" spans="1:19" x14ac:dyDescent="0.35">
      <c r="C59" s="624"/>
      <c r="D59" s="624"/>
      <c r="E59" s="626"/>
      <c r="F59" s="626"/>
      <c r="G59" s="626"/>
      <c r="H59" s="626"/>
      <c r="I59" s="626"/>
      <c r="J59" s="626"/>
      <c r="K59" s="626"/>
      <c r="L59" s="626"/>
      <c r="M59" s="626"/>
      <c r="N59" s="626"/>
      <c r="O59" s="626"/>
      <c r="P59" s="626"/>
      <c r="Q59" s="626"/>
      <c r="R59" s="626"/>
      <c r="S59" s="626"/>
    </row>
    <row r="60" spans="1:19" x14ac:dyDescent="0.35">
      <c r="C60" s="624"/>
      <c r="D60" s="624"/>
      <c r="E60" s="626"/>
      <c r="F60" s="626"/>
      <c r="G60" s="626"/>
      <c r="H60" s="626"/>
      <c r="I60" s="626"/>
      <c r="J60" s="626"/>
      <c r="K60" s="626"/>
      <c r="L60" s="626"/>
      <c r="M60" s="626"/>
      <c r="N60" s="626"/>
      <c r="O60" s="626"/>
      <c r="P60" s="626"/>
      <c r="Q60" s="756"/>
      <c r="R60" s="626"/>
      <c r="S60" s="626"/>
    </row>
    <row r="61" spans="1:19" x14ac:dyDescent="0.35">
      <c r="C61" s="624"/>
      <c r="D61" s="624"/>
      <c r="E61" s="626"/>
      <c r="F61" s="626"/>
      <c r="G61" s="626"/>
      <c r="H61" s="626"/>
      <c r="I61" s="626"/>
      <c r="J61" s="626"/>
      <c r="K61" s="626"/>
      <c r="L61" s="626"/>
      <c r="M61" s="626"/>
      <c r="N61" s="626"/>
      <c r="O61" s="626"/>
      <c r="P61" s="626"/>
      <c r="Q61" s="757">
        <v>8548784</v>
      </c>
      <c r="R61" s="626"/>
      <c r="S61" s="626"/>
    </row>
    <row r="62" spans="1:19" x14ac:dyDescent="0.35">
      <c r="C62" s="624"/>
      <c r="D62" s="624"/>
      <c r="E62" s="626"/>
      <c r="F62" s="626"/>
      <c r="G62" s="626"/>
      <c r="H62" s="626"/>
      <c r="I62" s="626"/>
      <c r="J62" s="626"/>
      <c r="K62" s="626"/>
      <c r="L62" s="626"/>
      <c r="M62" s="626"/>
      <c r="N62" s="626"/>
      <c r="O62" s="626"/>
      <c r="P62" s="626"/>
      <c r="Q62" s="757">
        <v>1218690</v>
      </c>
      <c r="R62" s="626"/>
      <c r="S62" s="626"/>
    </row>
    <row r="63" spans="1:19" x14ac:dyDescent="0.35">
      <c r="C63" s="624"/>
      <c r="D63" s="624"/>
      <c r="E63" s="626"/>
      <c r="F63" s="626"/>
      <c r="G63" s="626"/>
      <c r="H63" s="626"/>
      <c r="I63" s="626"/>
      <c r="J63" s="626"/>
      <c r="K63" s="626"/>
      <c r="L63" s="626"/>
      <c r="M63" s="626"/>
      <c r="N63" s="626"/>
      <c r="O63" s="626"/>
      <c r="P63" s="626"/>
      <c r="Q63" s="757"/>
      <c r="R63" s="626"/>
      <c r="S63" s="626"/>
    </row>
    <row r="64" spans="1:19" x14ac:dyDescent="0.35">
      <c r="C64" s="624"/>
      <c r="D64" s="624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757">
        <f>SUM(Q61:Q63)</f>
        <v>9767474</v>
      </c>
      <c r="R64" s="626"/>
      <c r="S64" s="626"/>
    </row>
    <row r="65" spans="3:19" x14ac:dyDescent="0.35">
      <c r="C65" s="624"/>
      <c r="D65" s="624"/>
      <c r="E65" s="626"/>
      <c r="F65" s="626"/>
      <c r="G65" s="626"/>
      <c r="H65" s="626"/>
      <c r="I65" s="626"/>
      <c r="J65" s="626"/>
      <c r="K65" s="626"/>
      <c r="L65" s="626"/>
      <c r="M65" s="626"/>
      <c r="N65" s="626"/>
      <c r="O65" s="626"/>
      <c r="P65" s="626"/>
      <c r="Q65" s="756">
        <v>9678447</v>
      </c>
      <c r="R65" s="626"/>
      <c r="S65" s="626"/>
    </row>
    <row r="66" spans="3:19" x14ac:dyDescent="0.35">
      <c r="C66" s="624"/>
      <c r="D66" s="624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757">
        <f>SUM(Q64-Q65)</f>
        <v>89027</v>
      </c>
      <c r="R66" s="626"/>
      <c r="S66" s="626"/>
    </row>
    <row r="67" spans="3:19" x14ac:dyDescent="0.35">
      <c r="C67" s="624"/>
      <c r="D67" s="624"/>
      <c r="E67" s="626"/>
      <c r="F67" s="626"/>
      <c r="G67" s="626"/>
      <c r="H67" s="626"/>
      <c r="I67" s="626"/>
      <c r="J67" s="626"/>
      <c r="K67" s="626"/>
      <c r="L67" s="626"/>
      <c r="M67" s="626"/>
      <c r="N67" s="626"/>
      <c r="O67" s="626"/>
      <c r="P67" s="626"/>
      <c r="Q67" s="756"/>
      <c r="R67" s="626"/>
      <c r="S67" s="626"/>
    </row>
    <row r="68" spans="3:19" x14ac:dyDescent="0.35">
      <c r="C68" s="624"/>
      <c r="D68" s="624"/>
      <c r="E68" s="626"/>
      <c r="F68" s="626"/>
      <c r="G68" s="626"/>
      <c r="H68" s="626"/>
      <c r="I68" s="626"/>
      <c r="J68" s="626"/>
      <c r="K68" s="626"/>
      <c r="L68" s="626"/>
      <c r="M68" s="626"/>
      <c r="N68" s="626"/>
      <c r="O68" s="626"/>
      <c r="P68" s="626"/>
      <c r="Q68" s="626"/>
      <c r="R68" s="626"/>
      <c r="S68" s="626"/>
    </row>
    <row r="69" spans="3:19" x14ac:dyDescent="0.35">
      <c r="C69" s="624"/>
      <c r="D69" s="624"/>
      <c r="E69" s="626"/>
      <c r="F69" s="626"/>
      <c r="G69" s="626"/>
      <c r="H69" s="626"/>
      <c r="I69" s="626"/>
      <c r="J69" s="626"/>
      <c r="K69" s="626"/>
      <c r="L69" s="626"/>
      <c r="M69" s="626"/>
      <c r="N69" s="626"/>
      <c r="O69" s="626"/>
      <c r="P69" s="626"/>
      <c r="Q69" s="626"/>
      <c r="R69" s="626"/>
      <c r="S69" s="626"/>
    </row>
    <row r="70" spans="3:19" x14ac:dyDescent="0.35">
      <c r="C70" s="624"/>
      <c r="D70" s="624"/>
      <c r="E70" s="626"/>
      <c r="F70" s="626"/>
      <c r="G70" s="626"/>
      <c r="H70" s="626"/>
      <c r="I70" s="626"/>
      <c r="J70" s="626"/>
      <c r="K70" s="626"/>
      <c r="L70" s="626"/>
      <c r="M70" s="626"/>
      <c r="N70" s="626"/>
      <c r="O70" s="626"/>
      <c r="P70" s="626"/>
      <c r="Q70" s="626"/>
      <c r="R70" s="626"/>
      <c r="S70" s="626"/>
    </row>
    <row r="71" spans="3:19" x14ac:dyDescent="0.35">
      <c r="C71" s="624"/>
      <c r="D71" s="624"/>
      <c r="E71" s="626"/>
      <c r="F71" s="626"/>
      <c r="G71" s="626"/>
      <c r="H71" s="626"/>
      <c r="I71" s="626"/>
      <c r="J71" s="626"/>
      <c r="K71" s="626"/>
      <c r="L71" s="626"/>
      <c r="M71" s="626"/>
      <c r="N71" s="626"/>
      <c r="O71" s="626"/>
      <c r="P71" s="626"/>
      <c r="Q71" s="626"/>
      <c r="R71" s="626"/>
      <c r="S71" s="626"/>
    </row>
    <row r="72" spans="3:19" x14ac:dyDescent="0.35">
      <c r="C72" s="624"/>
      <c r="D72" s="624"/>
      <c r="E72" s="626"/>
      <c r="F72" s="626"/>
      <c r="G72" s="626"/>
      <c r="H72" s="626"/>
      <c r="I72" s="626"/>
      <c r="J72" s="626"/>
      <c r="K72" s="626"/>
      <c r="L72" s="626"/>
      <c r="M72" s="626"/>
      <c r="N72" s="626"/>
      <c r="O72" s="626"/>
      <c r="P72" s="626"/>
      <c r="Q72" s="626"/>
      <c r="R72" s="626"/>
      <c r="S72" s="626"/>
    </row>
    <row r="73" spans="3:19" x14ac:dyDescent="0.35">
      <c r="C73" s="624"/>
      <c r="D73" s="624"/>
      <c r="E73" s="626"/>
      <c r="F73" s="626"/>
      <c r="G73" s="626"/>
      <c r="H73" s="626"/>
      <c r="I73" s="626"/>
      <c r="J73" s="626"/>
      <c r="K73" s="626"/>
      <c r="L73" s="626"/>
      <c r="M73" s="626"/>
      <c r="N73" s="626"/>
      <c r="O73" s="626"/>
      <c r="P73" s="626"/>
      <c r="Q73" s="626"/>
      <c r="R73" s="626"/>
      <c r="S73" s="626"/>
    </row>
    <row r="74" spans="3:19" x14ac:dyDescent="0.35">
      <c r="C74" s="624"/>
      <c r="D74" s="624"/>
      <c r="E74" s="626"/>
      <c r="F74" s="626"/>
      <c r="G74" s="626"/>
      <c r="H74" s="626"/>
      <c r="I74" s="626"/>
      <c r="J74" s="626"/>
      <c r="K74" s="626"/>
      <c r="L74" s="626"/>
      <c r="M74" s="626"/>
      <c r="N74" s="626"/>
      <c r="O74" s="626"/>
      <c r="P74" s="626"/>
      <c r="Q74" s="626"/>
      <c r="R74" s="626"/>
      <c r="S74" s="626"/>
    </row>
    <row r="75" spans="3:19" x14ac:dyDescent="0.35">
      <c r="C75" s="624"/>
      <c r="D75" s="624"/>
      <c r="E75" s="626"/>
      <c r="F75" s="626"/>
      <c r="G75" s="626"/>
      <c r="H75" s="626"/>
      <c r="I75" s="626"/>
      <c r="J75" s="626"/>
      <c r="K75" s="626"/>
      <c r="L75" s="626"/>
      <c r="M75" s="626"/>
      <c r="N75" s="626"/>
      <c r="O75" s="626"/>
      <c r="P75" s="626"/>
      <c r="Q75" s="626"/>
      <c r="R75" s="626"/>
      <c r="S75" s="626"/>
    </row>
  </sheetData>
  <sheetProtection selectLockedCells="1" selectUnlockedCells="1"/>
  <mergeCells count="11">
    <mergeCell ref="J5:L5"/>
    <mergeCell ref="M5:M6"/>
    <mergeCell ref="N5:Q5"/>
    <mergeCell ref="R5:R6"/>
    <mergeCell ref="B1:C1"/>
    <mergeCell ref="B2:Q2"/>
    <mergeCell ref="A5:A6"/>
    <mergeCell ref="B5:B6"/>
    <mergeCell ref="C5:C6"/>
    <mergeCell ref="D5:D6"/>
    <mergeCell ref="E5:I5"/>
  </mergeCells>
  <pageMargins left="0.25" right="0.25" top="0.75" bottom="0.75" header="0.51180555555555551" footer="0.51180555555555551"/>
  <pageSetup paperSize="9" scale="44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1"/>
  <sheetViews>
    <sheetView view="pageBreakPreview" zoomScale="70" zoomScaleNormal="70" zoomScaleSheetLayoutView="70" workbookViewId="0">
      <pane ySplit="8" topLeftCell="A40" activePane="bottomLeft" state="frozen"/>
      <selection activeCell="I1" sqref="I1"/>
      <selection pane="bottomLeft" activeCell="B2" sqref="B2:C2"/>
    </sheetView>
  </sheetViews>
  <sheetFormatPr defaultColWidth="9" defaultRowHeight="18" x14ac:dyDescent="0.35"/>
  <cols>
    <col min="1" max="1" width="4.5703125" style="464" customWidth="1"/>
    <col min="2" max="2" width="4.42578125" style="465" customWidth="1"/>
    <col min="3" max="3" width="57.42578125" style="535" customWidth="1"/>
    <col min="4" max="4" width="7" style="536" customWidth="1"/>
    <col min="5" max="5" width="7" style="537" customWidth="1"/>
    <col min="6" max="17" width="17.42578125" style="468" customWidth="1"/>
    <col min="18" max="18" width="19.42578125" style="468" customWidth="1"/>
    <col min="19" max="21" width="18.42578125" style="468" customWidth="1"/>
    <col min="22" max="22" width="17.42578125" style="468" customWidth="1"/>
    <col min="23" max="23" width="34.7109375" style="462" customWidth="1"/>
    <col min="24" max="16384" width="9" style="455"/>
  </cols>
  <sheetData>
    <row r="1" spans="1:23" s="457" customFormat="1" ht="15" x14ac:dyDescent="0.25">
      <c r="A1" s="455"/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6"/>
    </row>
    <row r="2" spans="1:23" ht="35.450000000000003" customHeight="1" x14ac:dyDescent="0.3">
      <c r="A2" s="458"/>
      <c r="B2" s="956" t="s">
        <v>713</v>
      </c>
      <c r="C2" s="956"/>
      <c r="D2" s="459"/>
      <c r="E2" s="460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</row>
    <row r="3" spans="1:23" x14ac:dyDescent="0.25">
      <c r="A3" s="463"/>
      <c r="B3" s="957" t="s">
        <v>670</v>
      </c>
      <c r="C3" s="957"/>
      <c r="D3" s="957"/>
      <c r="E3" s="957"/>
      <c r="F3" s="957"/>
      <c r="G3" s="957"/>
      <c r="H3" s="957"/>
      <c r="I3" s="957"/>
      <c r="J3" s="957"/>
      <c r="K3" s="957"/>
      <c r="L3" s="957"/>
      <c r="M3" s="957"/>
      <c r="N3" s="957"/>
      <c r="O3" s="957"/>
      <c r="P3" s="957"/>
      <c r="Q3" s="957"/>
      <c r="R3" s="957"/>
      <c r="S3" s="957"/>
      <c r="T3" s="957"/>
      <c r="U3" s="957"/>
      <c r="V3" s="463"/>
    </row>
    <row r="4" spans="1:23" x14ac:dyDescent="0.35">
      <c r="C4" s="466"/>
      <c r="D4" s="466"/>
      <c r="E4" s="467"/>
      <c r="N4" s="469"/>
      <c r="O4" s="470"/>
      <c r="P4" s="470"/>
      <c r="Q4" s="958" t="s">
        <v>316</v>
      </c>
      <c r="R4" s="958"/>
      <c r="S4" s="958"/>
      <c r="T4" s="958"/>
      <c r="U4" s="958"/>
      <c r="V4" s="464"/>
    </row>
    <row r="5" spans="1:23" s="477" customFormat="1" ht="19.899999999999999" customHeight="1" thickBot="1" x14ac:dyDescent="0.4">
      <c r="A5" s="471" t="s">
        <v>259</v>
      </c>
      <c r="B5" s="472" t="s">
        <v>260</v>
      </c>
      <c r="C5" s="473" t="s">
        <v>261</v>
      </c>
      <c r="D5" s="474" t="s">
        <v>262</v>
      </c>
      <c r="E5" s="471" t="s">
        <v>263</v>
      </c>
      <c r="F5" s="471" t="s">
        <v>264</v>
      </c>
      <c r="G5" s="471" t="s">
        <v>265</v>
      </c>
      <c r="H5" s="475" t="s">
        <v>266</v>
      </c>
      <c r="I5" s="471" t="s">
        <v>267</v>
      </c>
      <c r="J5" s="471" t="s">
        <v>268</v>
      </c>
      <c r="K5" s="471" t="s">
        <v>269</v>
      </c>
      <c r="L5" s="471" t="s">
        <v>270</v>
      </c>
      <c r="M5" s="471" t="s">
        <v>271</v>
      </c>
      <c r="N5" s="959" t="s">
        <v>272</v>
      </c>
      <c r="O5" s="959"/>
      <c r="P5" s="475" t="s">
        <v>273</v>
      </c>
      <c r="Q5" s="471" t="s">
        <v>274</v>
      </c>
      <c r="R5" s="471" t="s">
        <v>275</v>
      </c>
      <c r="S5" s="959" t="s">
        <v>276</v>
      </c>
      <c r="T5" s="959"/>
      <c r="U5" s="959"/>
      <c r="V5" s="471" t="s">
        <v>317</v>
      </c>
      <c r="W5" s="476"/>
    </row>
    <row r="6" spans="1:23" ht="19.899999999999999" customHeight="1" thickTop="1" thickBot="1" x14ac:dyDescent="0.4">
      <c r="A6" s="950" t="s">
        <v>0</v>
      </c>
      <c r="B6" s="951" t="s">
        <v>1</v>
      </c>
      <c r="C6" s="952" t="s">
        <v>2</v>
      </c>
      <c r="D6" s="953" t="s">
        <v>277</v>
      </c>
      <c r="E6" s="954" t="s">
        <v>318</v>
      </c>
      <c r="F6" s="947" t="s">
        <v>319</v>
      </c>
      <c r="G6" s="947"/>
      <c r="H6" s="947"/>
      <c r="I6" s="947"/>
      <c r="J6" s="947"/>
      <c r="K6" s="947"/>
      <c r="L6" s="947" t="s">
        <v>320</v>
      </c>
      <c r="M6" s="947"/>
      <c r="N6" s="947"/>
      <c r="O6" s="947"/>
      <c r="P6" s="960" t="s">
        <v>321</v>
      </c>
      <c r="Q6" s="960"/>
      <c r="R6" s="948" t="s">
        <v>322</v>
      </c>
      <c r="S6" s="949" t="s">
        <v>323</v>
      </c>
      <c r="T6" s="949"/>
      <c r="U6" s="949"/>
      <c r="V6" s="940" t="s">
        <v>324</v>
      </c>
    </row>
    <row r="7" spans="1:23" ht="19.899999999999999" customHeight="1" thickTop="1" thickBot="1" x14ac:dyDescent="0.3">
      <c r="A7" s="950"/>
      <c r="B7" s="950"/>
      <c r="C7" s="952"/>
      <c r="D7" s="953"/>
      <c r="E7" s="954"/>
      <c r="F7" s="941" t="s">
        <v>325</v>
      </c>
      <c r="G7" s="942" t="s">
        <v>326</v>
      </c>
      <c r="H7" s="943" t="s">
        <v>327</v>
      </c>
      <c r="I7" s="943" t="s">
        <v>328</v>
      </c>
      <c r="J7" s="946" t="s">
        <v>329</v>
      </c>
      <c r="K7" s="946"/>
      <c r="L7" s="943" t="s">
        <v>208</v>
      </c>
      <c r="M7" s="943" t="s">
        <v>210</v>
      </c>
      <c r="N7" s="946" t="s">
        <v>571</v>
      </c>
      <c r="O7" s="946"/>
      <c r="P7" s="943" t="s">
        <v>227</v>
      </c>
      <c r="Q7" s="955" t="s">
        <v>228</v>
      </c>
      <c r="R7" s="948"/>
      <c r="S7" s="944" t="s">
        <v>331</v>
      </c>
      <c r="T7" s="943" t="s">
        <v>332</v>
      </c>
      <c r="U7" s="945" t="s">
        <v>333</v>
      </c>
      <c r="V7" s="940"/>
    </row>
    <row r="8" spans="1:23" ht="33" customHeight="1" thickTop="1" thickBot="1" x14ac:dyDescent="0.3">
      <c r="A8" s="950"/>
      <c r="B8" s="950"/>
      <c r="C8" s="952"/>
      <c r="D8" s="953"/>
      <c r="E8" s="954"/>
      <c r="F8" s="941"/>
      <c r="G8" s="942"/>
      <c r="H8" s="943"/>
      <c r="I8" s="943" t="s">
        <v>334</v>
      </c>
      <c r="J8" s="946"/>
      <c r="K8" s="946"/>
      <c r="L8" s="943"/>
      <c r="M8" s="943"/>
      <c r="N8" s="946"/>
      <c r="O8" s="946"/>
      <c r="P8" s="943"/>
      <c r="Q8" s="955"/>
      <c r="R8" s="948"/>
      <c r="S8" s="944"/>
      <c r="T8" s="943"/>
      <c r="U8" s="945"/>
      <c r="V8" s="940"/>
    </row>
    <row r="9" spans="1:23" ht="19.5" thickTop="1" thickBot="1" x14ac:dyDescent="0.3">
      <c r="A9" s="950"/>
      <c r="B9" s="950"/>
      <c r="C9" s="952"/>
      <c r="D9" s="953"/>
      <c r="E9" s="954"/>
      <c r="F9" s="941"/>
      <c r="G9" s="942"/>
      <c r="H9" s="943"/>
      <c r="I9" s="943" t="s">
        <v>335</v>
      </c>
      <c r="J9" s="478" t="s">
        <v>336</v>
      </c>
      <c r="K9" s="478" t="s">
        <v>337</v>
      </c>
      <c r="L9" s="943"/>
      <c r="M9" s="943"/>
      <c r="N9" s="478" t="s">
        <v>336</v>
      </c>
      <c r="O9" s="478" t="s">
        <v>337</v>
      </c>
      <c r="P9" s="943"/>
      <c r="Q9" s="955"/>
      <c r="R9" s="948"/>
      <c r="S9" s="944"/>
      <c r="T9" s="943"/>
      <c r="U9" s="945"/>
      <c r="V9" s="940"/>
    </row>
    <row r="10" spans="1:23" ht="36.75" thickTop="1" x14ac:dyDescent="0.35">
      <c r="A10" s="479"/>
      <c r="B10" s="492"/>
      <c r="C10" s="493" t="s">
        <v>652</v>
      </c>
      <c r="D10" s="482" t="s">
        <v>308</v>
      </c>
      <c r="E10" s="494"/>
      <c r="F10" s="484"/>
      <c r="G10" s="484"/>
      <c r="H10" s="484"/>
      <c r="I10" s="484"/>
      <c r="J10" s="484"/>
      <c r="K10" s="484"/>
      <c r="L10" s="484">
        <v>1500000</v>
      </c>
      <c r="M10" s="484">
        <v>2000000</v>
      </c>
      <c r="N10" s="484"/>
      <c r="O10" s="484"/>
      <c r="P10" s="484"/>
      <c r="Q10" s="485"/>
      <c r="R10" s="486">
        <f>SUM(F10:Q10)</f>
        <v>3500000</v>
      </c>
      <c r="S10" s="487"/>
      <c r="T10" s="488"/>
      <c r="U10" s="489"/>
      <c r="V10" s="490">
        <f t="shared" ref="V10:V41" si="0">SUM(R10:U10)</f>
        <v>3500000</v>
      </c>
      <c r="W10" s="735"/>
    </row>
    <row r="11" spans="1:23" x14ac:dyDescent="0.35">
      <c r="A11" s="491"/>
      <c r="B11" s="480"/>
      <c r="C11" s="481" t="s">
        <v>395</v>
      </c>
      <c r="D11" s="482" t="s">
        <v>387</v>
      </c>
      <c r="E11" s="483"/>
      <c r="F11" s="484"/>
      <c r="G11" s="484"/>
      <c r="H11" s="484"/>
      <c r="I11" s="484">
        <v>700</v>
      </c>
      <c r="J11" s="484"/>
      <c r="K11" s="484"/>
      <c r="L11" s="484"/>
      <c r="M11" s="484"/>
      <c r="N11" s="484"/>
      <c r="O11" s="484"/>
      <c r="P11" s="484"/>
      <c r="Q11" s="485"/>
      <c r="R11" s="486">
        <f t="shared" ref="R11:R74" si="1">SUM(F11:Q11)</f>
        <v>700</v>
      </c>
      <c r="S11" s="487"/>
      <c r="T11" s="488"/>
      <c r="U11" s="489"/>
      <c r="V11" s="490">
        <f t="shared" si="0"/>
        <v>700</v>
      </c>
      <c r="W11" s="735"/>
    </row>
    <row r="12" spans="1:23" x14ac:dyDescent="0.35">
      <c r="A12" s="491"/>
      <c r="B12" s="492"/>
      <c r="C12" s="493" t="s">
        <v>393</v>
      </c>
      <c r="D12" s="482" t="s">
        <v>387</v>
      </c>
      <c r="E12" s="494"/>
      <c r="F12" s="484"/>
      <c r="G12" s="484"/>
      <c r="H12" s="484"/>
      <c r="I12" s="484">
        <v>6500</v>
      </c>
      <c r="J12" s="484"/>
      <c r="K12" s="484"/>
      <c r="L12" s="484"/>
      <c r="M12" s="484"/>
      <c r="N12" s="484"/>
      <c r="O12" s="484"/>
      <c r="P12" s="484"/>
      <c r="Q12" s="485"/>
      <c r="R12" s="486">
        <f t="shared" si="1"/>
        <v>6500</v>
      </c>
      <c r="S12" s="487"/>
      <c r="T12" s="488"/>
      <c r="U12" s="489"/>
      <c r="V12" s="490">
        <f t="shared" si="0"/>
        <v>6500</v>
      </c>
      <c r="W12" s="735"/>
    </row>
    <row r="13" spans="1:23" x14ac:dyDescent="0.35">
      <c r="A13" s="491"/>
      <c r="B13" s="495"/>
      <c r="C13" s="496" t="s">
        <v>381</v>
      </c>
      <c r="D13" s="482" t="s">
        <v>308</v>
      </c>
      <c r="E13" s="494"/>
      <c r="F13" s="484"/>
      <c r="G13" s="484"/>
      <c r="H13" s="484"/>
      <c r="I13" s="484"/>
      <c r="J13" s="484"/>
      <c r="K13" s="484">
        <v>20</v>
      </c>
      <c r="L13" s="484"/>
      <c r="M13" s="484"/>
      <c r="N13" s="484"/>
      <c r="O13" s="484"/>
      <c r="P13" s="484"/>
      <c r="Q13" s="485"/>
      <c r="R13" s="486">
        <f t="shared" si="1"/>
        <v>20</v>
      </c>
      <c r="S13" s="487"/>
      <c r="T13" s="488"/>
      <c r="U13" s="489"/>
      <c r="V13" s="490">
        <f t="shared" si="0"/>
        <v>20</v>
      </c>
      <c r="W13" s="735"/>
    </row>
    <row r="14" spans="1:23" ht="36" x14ac:dyDescent="0.35">
      <c r="A14" s="491"/>
      <c r="B14" s="499"/>
      <c r="C14" s="493" t="s">
        <v>339</v>
      </c>
      <c r="D14" s="498" t="s">
        <v>269</v>
      </c>
      <c r="E14" s="494"/>
      <c r="F14" s="484"/>
      <c r="G14" s="484"/>
      <c r="H14" s="484">
        <v>60000</v>
      </c>
      <c r="I14" s="484"/>
      <c r="J14" s="484"/>
      <c r="K14" s="484"/>
      <c r="L14" s="484">
        <v>1500</v>
      </c>
      <c r="M14" s="484">
        <v>53367</v>
      </c>
      <c r="N14" s="484"/>
      <c r="O14" s="484"/>
      <c r="P14" s="484"/>
      <c r="Q14" s="485"/>
      <c r="R14" s="486">
        <f t="shared" si="1"/>
        <v>114867</v>
      </c>
      <c r="S14" s="487"/>
      <c r="T14" s="488"/>
      <c r="U14" s="489"/>
      <c r="V14" s="490">
        <f t="shared" si="0"/>
        <v>114867</v>
      </c>
      <c r="W14" s="735"/>
    </row>
    <row r="15" spans="1:23" x14ac:dyDescent="0.35">
      <c r="A15" s="491"/>
      <c r="B15" s="495"/>
      <c r="C15" s="497" t="s">
        <v>379</v>
      </c>
      <c r="D15" s="482" t="s">
        <v>308</v>
      </c>
      <c r="E15" s="494"/>
      <c r="F15" s="484"/>
      <c r="G15" s="484"/>
      <c r="H15" s="484"/>
      <c r="I15" s="484"/>
      <c r="J15" s="484">
        <v>1250</v>
      </c>
      <c r="K15" s="484"/>
      <c r="L15" s="484"/>
      <c r="M15" s="484"/>
      <c r="N15" s="484"/>
      <c r="O15" s="484"/>
      <c r="P15" s="484"/>
      <c r="Q15" s="485"/>
      <c r="R15" s="486">
        <f t="shared" si="1"/>
        <v>1250</v>
      </c>
      <c r="S15" s="487"/>
      <c r="T15" s="488"/>
      <c r="U15" s="489"/>
      <c r="V15" s="490">
        <f t="shared" si="0"/>
        <v>1250</v>
      </c>
      <c r="W15" s="735"/>
    </row>
    <row r="16" spans="1:23" x14ac:dyDescent="0.35">
      <c r="A16" s="491"/>
      <c r="B16" s="500"/>
      <c r="C16" s="493" t="s">
        <v>557</v>
      </c>
      <c r="D16" s="482" t="s">
        <v>308</v>
      </c>
      <c r="E16" s="494"/>
      <c r="F16" s="484"/>
      <c r="G16" s="484"/>
      <c r="H16" s="484">
        <v>500</v>
      </c>
      <c r="I16" s="484"/>
      <c r="J16" s="484"/>
      <c r="K16" s="484"/>
      <c r="L16" s="484"/>
      <c r="M16" s="484"/>
      <c r="N16" s="484"/>
      <c r="O16" s="484"/>
      <c r="P16" s="484"/>
      <c r="Q16" s="485"/>
      <c r="R16" s="486">
        <f t="shared" si="1"/>
        <v>500</v>
      </c>
      <c r="S16" s="487"/>
      <c r="T16" s="488"/>
      <c r="U16" s="489"/>
      <c r="V16" s="490">
        <f t="shared" si="0"/>
        <v>500</v>
      </c>
      <c r="W16" s="735"/>
    </row>
    <row r="17" spans="1:23" ht="36" x14ac:dyDescent="0.35">
      <c r="A17" s="491"/>
      <c r="B17" s="495"/>
      <c r="C17" s="497" t="s">
        <v>649</v>
      </c>
      <c r="D17" s="498" t="s">
        <v>308</v>
      </c>
      <c r="E17" s="494">
        <v>5</v>
      </c>
      <c r="F17" s="484">
        <v>27724</v>
      </c>
      <c r="G17" s="484">
        <v>5919</v>
      </c>
      <c r="H17" s="484">
        <v>68251</v>
      </c>
      <c r="I17" s="484">
        <v>37000</v>
      </c>
      <c r="J17" s="484"/>
      <c r="K17" s="484">
        <v>17466</v>
      </c>
      <c r="L17" s="484">
        <v>9905</v>
      </c>
      <c r="M17" s="484"/>
      <c r="N17" s="484"/>
      <c r="O17" s="484"/>
      <c r="P17" s="484"/>
      <c r="Q17" s="485">
        <v>89504</v>
      </c>
      <c r="R17" s="486">
        <f t="shared" si="1"/>
        <v>255769</v>
      </c>
      <c r="S17" s="487"/>
      <c r="T17" s="488"/>
      <c r="U17" s="489"/>
      <c r="V17" s="490">
        <f t="shared" si="0"/>
        <v>255769</v>
      </c>
      <c r="W17" s="735"/>
    </row>
    <row r="18" spans="1:23" ht="20.25" customHeight="1" x14ac:dyDescent="0.35">
      <c r="A18" s="501"/>
      <c r="B18" s="492"/>
      <c r="C18" s="502" t="s">
        <v>390</v>
      </c>
      <c r="D18" s="482" t="s">
        <v>387</v>
      </c>
      <c r="E18" s="494"/>
      <c r="F18" s="503"/>
      <c r="G18" s="503"/>
      <c r="H18" s="503"/>
      <c r="I18" s="503">
        <v>250</v>
      </c>
      <c r="J18" s="503"/>
      <c r="K18" s="503"/>
      <c r="L18" s="503"/>
      <c r="M18" s="503"/>
      <c r="N18" s="503"/>
      <c r="O18" s="503"/>
      <c r="P18" s="503"/>
      <c r="Q18" s="504"/>
      <c r="R18" s="486">
        <f t="shared" si="1"/>
        <v>250</v>
      </c>
      <c r="S18" s="505"/>
      <c r="T18" s="506"/>
      <c r="U18" s="507"/>
      <c r="V18" s="490">
        <f t="shared" si="0"/>
        <v>250</v>
      </c>
      <c r="W18" s="735"/>
    </row>
    <row r="19" spans="1:23" ht="36" x14ac:dyDescent="0.35">
      <c r="A19" s="491"/>
      <c r="B19" s="508"/>
      <c r="C19" s="497" t="s">
        <v>548</v>
      </c>
      <c r="D19" s="498" t="s">
        <v>269</v>
      </c>
      <c r="E19" s="494"/>
      <c r="F19" s="484"/>
      <c r="G19" s="484"/>
      <c r="H19" s="484"/>
      <c r="I19" s="484"/>
      <c r="J19" s="484"/>
      <c r="K19" s="484">
        <v>40272</v>
      </c>
      <c r="L19" s="484"/>
      <c r="M19" s="484"/>
      <c r="N19" s="484"/>
      <c r="O19" s="484"/>
      <c r="P19" s="484"/>
      <c r="Q19" s="485"/>
      <c r="R19" s="486">
        <f t="shared" si="1"/>
        <v>40272</v>
      </c>
      <c r="S19" s="487"/>
      <c r="T19" s="488"/>
      <c r="U19" s="489"/>
      <c r="V19" s="490">
        <f t="shared" si="0"/>
        <v>40272</v>
      </c>
      <c r="W19" s="735"/>
    </row>
    <row r="20" spans="1:23" x14ac:dyDescent="0.35">
      <c r="A20" s="491"/>
      <c r="B20" s="500"/>
      <c r="C20" s="493" t="s">
        <v>373</v>
      </c>
      <c r="D20" s="482" t="s">
        <v>308</v>
      </c>
      <c r="E20" s="494"/>
      <c r="F20" s="484"/>
      <c r="G20" s="484"/>
      <c r="H20" s="484">
        <v>4200</v>
      </c>
      <c r="I20" s="484"/>
      <c r="J20" s="484"/>
      <c r="K20" s="484"/>
      <c r="L20" s="484"/>
      <c r="M20" s="484"/>
      <c r="N20" s="484"/>
      <c r="O20" s="484"/>
      <c r="P20" s="484"/>
      <c r="Q20" s="485"/>
      <c r="R20" s="486">
        <f t="shared" si="1"/>
        <v>4200</v>
      </c>
      <c r="S20" s="487"/>
      <c r="T20" s="488"/>
      <c r="U20" s="489"/>
      <c r="V20" s="490">
        <f t="shared" si="0"/>
        <v>4200</v>
      </c>
      <c r="W20" s="735"/>
    </row>
    <row r="21" spans="1:23" x14ac:dyDescent="0.35">
      <c r="A21" s="491"/>
      <c r="B21" s="500"/>
      <c r="C21" s="493" t="s">
        <v>556</v>
      </c>
      <c r="D21" s="482" t="s">
        <v>269</v>
      </c>
      <c r="E21" s="494"/>
      <c r="F21" s="484"/>
      <c r="G21" s="484"/>
      <c r="H21" s="484">
        <v>500</v>
      </c>
      <c r="I21" s="484"/>
      <c r="J21" s="484"/>
      <c r="K21" s="484"/>
      <c r="L21" s="484"/>
      <c r="M21" s="484"/>
      <c r="N21" s="484"/>
      <c r="O21" s="484"/>
      <c r="P21" s="484"/>
      <c r="Q21" s="485"/>
      <c r="R21" s="486">
        <f t="shared" si="1"/>
        <v>500</v>
      </c>
      <c r="S21" s="487"/>
      <c r="T21" s="488"/>
      <c r="U21" s="489"/>
      <c r="V21" s="490">
        <f t="shared" si="0"/>
        <v>500</v>
      </c>
      <c r="W21" s="735"/>
    </row>
    <row r="22" spans="1:23" ht="37.35" customHeight="1" x14ac:dyDescent="0.35">
      <c r="A22" s="491"/>
      <c r="B22" s="508"/>
      <c r="C22" s="497" t="s">
        <v>580</v>
      </c>
      <c r="D22" s="482" t="s">
        <v>308</v>
      </c>
      <c r="E22" s="494"/>
      <c r="F22" s="484"/>
      <c r="G22" s="484"/>
      <c r="H22" s="484"/>
      <c r="I22" s="484"/>
      <c r="J22" s="484"/>
      <c r="K22" s="484">
        <v>360</v>
      </c>
      <c r="L22" s="484"/>
      <c r="M22" s="484"/>
      <c r="N22" s="484"/>
      <c r="O22" s="484"/>
      <c r="P22" s="484"/>
      <c r="Q22" s="485"/>
      <c r="R22" s="486">
        <f t="shared" si="1"/>
        <v>360</v>
      </c>
      <c r="S22" s="487"/>
      <c r="T22" s="488"/>
      <c r="U22" s="489"/>
      <c r="V22" s="490">
        <f t="shared" si="0"/>
        <v>360</v>
      </c>
      <c r="W22" s="735"/>
    </row>
    <row r="23" spans="1:23" x14ac:dyDescent="0.35">
      <c r="A23" s="491"/>
      <c r="B23" s="495"/>
      <c r="C23" s="497" t="s">
        <v>650</v>
      </c>
      <c r="D23" s="482" t="s">
        <v>308</v>
      </c>
      <c r="E23" s="494"/>
      <c r="F23" s="484"/>
      <c r="G23" s="484"/>
      <c r="H23" s="484"/>
      <c r="I23" s="484"/>
      <c r="J23" s="484"/>
      <c r="K23" s="484">
        <v>9287</v>
      </c>
      <c r="L23" s="484"/>
      <c r="M23" s="484"/>
      <c r="N23" s="484"/>
      <c r="O23" s="484"/>
      <c r="P23" s="484"/>
      <c r="Q23" s="485"/>
      <c r="R23" s="486">
        <f t="shared" si="1"/>
        <v>9287</v>
      </c>
      <c r="S23" s="487"/>
      <c r="T23" s="488"/>
      <c r="U23" s="489"/>
      <c r="V23" s="490">
        <f t="shared" si="0"/>
        <v>9287</v>
      </c>
      <c r="W23" s="735"/>
    </row>
    <row r="24" spans="1:23" ht="36" x14ac:dyDescent="0.35">
      <c r="A24" s="491"/>
      <c r="B24" s="500"/>
      <c r="C24" s="493" t="s">
        <v>344</v>
      </c>
      <c r="D24" s="498" t="s">
        <v>269</v>
      </c>
      <c r="E24" s="494"/>
      <c r="F24" s="484"/>
      <c r="G24" s="484"/>
      <c r="H24" s="484">
        <v>15500</v>
      </c>
      <c r="I24" s="484"/>
      <c r="J24" s="484"/>
      <c r="K24" s="484"/>
      <c r="L24" s="484"/>
      <c r="M24" s="484"/>
      <c r="N24" s="484"/>
      <c r="O24" s="484"/>
      <c r="P24" s="484"/>
      <c r="Q24" s="485"/>
      <c r="R24" s="486">
        <f t="shared" si="1"/>
        <v>15500</v>
      </c>
      <c r="S24" s="487"/>
      <c r="T24" s="488"/>
      <c r="U24" s="489"/>
      <c r="V24" s="490">
        <f t="shared" si="0"/>
        <v>15500</v>
      </c>
      <c r="W24" s="735"/>
    </row>
    <row r="25" spans="1:23" x14ac:dyDescent="0.35">
      <c r="A25" s="491"/>
      <c r="B25" s="499"/>
      <c r="C25" s="493" t="s">
        <v>358</v>
      </c>
      <c r="D25" s="498" t="s">
        <v>269</v>
      </c>
      <c r="E25" s="494">
        <v>12</v>
      </c>
      <c r="F25" s="484">
        <v>22258</v>
      </c>
      <c r="G25" s="484">
        <v>5110</v>
      </c>
      <c r="H25" s="484">
        <v>140284</v>
      </c>
      <c r="I25" s="484"/>
      <c r="J25" s="484"/>
      <c r="K25" s="484"/>
      <c r="L25" s="484">
        <v>800</v>
      </c>
      <c r="M25" s="484"/>
      <c r="N25" s="484"/>
      <c r="O25" s="484"/>
      <c r="P25" s="484"/>
      <c r="Q25" s="485"/>
      <c r="R25" s="486">
        <f t="shared" si="1"/>
        <v>168452</v>
      </c>
      <c r="S25" s="487"/>
      <c r="T25" s="488"/>
      <c r="U25" s="489"/>
      <c r="V25" s="490">
        <f t="shared" si="0"/>
        <v>168452</v>
      </c>
      <c r="W25" s="735"/>
    </row>
    <row r="26" spans="1:23" x14ac:dyDescent="0.35">
      <c r="A26" s="491"/>
      <c r="B26" s="500"/>
      <c r="C26" s="493" t="s">
        <v>353</v>
      </c>
      <c r="D26" s="498" t="s">
        <v>269</v>
      </c>
      <c r="E26" s="494"/>
      <c r="F26" s="484"/>
      <c r="G26" s="484"/>
      <c r="H26" s="484">
        <v>600</v>
      </c>
      <c r="I26" s="484"/>
      <c r="J26" s="484"/>
      <c r="K26" s="484"/>
      <c r="L26" s="484"/>
      <c r="M26" s="484"/>
      <c r="N26" s="484"/>
      <c r="O26" s="484"/>
      <c r="P26" s="484"/>
      <c r="Q26" s="485"/>
      <c r="R26" s="486">
        <f t="shared" si="1"/>
        <v>600</v>
      </c>
      <c r="S26" s="487"/>
      <c r="T26" s="488"/>
      <c r="U26" s="489"/>
      <c r="V26" s="490">
        <f t="shared" si="0"/>
        <v>600</v>
      </c>
      <c r="W26" s="735"/>
    </row>
    <row r="27" spans="1:23" x14ac:dyDescent="0.35">
      <c r="A27" s="491"/>
      <c r="B27" s="495"/>
      <c r="C27" s="497" t="s">
        <v>651</v>
      </c>
      <c r="D27" s="498" t="s">
        <v>269</v>
      </c>
      <c r="E27" s="494"/>
      <c r="F27" s="484">
        <v>1200</v>
      </c>
      <c r="G27" s="484">
        <v>234</v>
      </c>
      <c r="H27" s="484">
        <v>10267</v>
      </c>
      <c r="I27" s="484"/>
      <c r="J27" s="484"/>
      <c r="K27" s="484"/>
      <c r="L27" s="484"/>
      <c r="M27" s="484"/>
      <c r="N27" s="484"/>
      <c r="O27" s="484"/>
      <c r="P27" s="484"/>
      <c r="Q27" s="485"/>
      <c r="R27" s="486">
        <f t="shared" si="1"/>
        <v>11701</v>
      </c>
      <c r="S27" s="487"/>
      <c r="T27" s="488"/>
      <c r="U27" s="489"/>
      <c r="V27" s="490">
        <f t="shared" si="0"/>
        <v>11701</v>
      </c>
      <c r="W27" s="735"/>
    </row>
    <row r="28" spans="1:23" x14ac:dyDescent="0.35">
      <c r="A28" s="491"/>
      <c r="B28" s="500"/>
      <c r="C28" s="493" t="s">
        <v>354</v>
      </c>
      <c r="D28" s="498" t="s">
        <v>269</v>
      </c>
      <c r="E28" s="494"/>
      <c r="F28" s="484"/>
      <c r="G28" s="484"/>
      <c r="H28" s="484">
        <v>6150</v>
      </c>
      <c r="I28" s="484"/>
      <c r="J28" s="484"/>
      <c r="K28" s="484"/>
      <c r="L28" s="484"/>
      <c r="M28" s="484"/>
      <c r="N28" s="484"/>
      <c r="O28" s="484"/>
      <c r="P28" s="484"/>
      <c r="Q28" s="485"/>
      <c r="R28" s="486">
        <f t="shared" si="1"/>
        <v>6150</v>
      </c>
      <c r="S28" s="487"/>
      <c r="T28" s="488"/>
      <c r="U28" s="489"/>
      <c r="V28" s="490">
        <f t="shared" si="0"/>
        <v>6150</v>
      </c>
      <c r="W28" s="735"/>
    </row>
    <row r="29" spans="1:23" ht="36" x14ac:dyDescent="0.35">
      <c r="A29" s="491"/>
      <c r="B29" s="500"/>
      <c r="C29" s="493" t="s">
        <v>350</v>
      </c>
      <c r="D29" s="498" t="s">
        <v>269</v>
      </c>
      <c r="E29" s="494"/>
      <c r="F29" s="484"/>
      <c r="G29" s="484"/>
      <c r="H29" s="484">
        <v>2300</v>
      </c>
      <c r="I29" s="484"/>
      <c r="J29" s="484"/>
      <c r="K29" s="484"/>
      <c r="L29" s="484"/>
      <c r="M29" s="484"/>
      <c r="N29" s="484"/>
      <c r="O29" s="484"/>
      <c r="P29" s="484"/>
      <c r="Q29" s="485"/>
      <c r="R29" s="486">
        <f t="shared" si="1"/>
        <v>2300</v>
      </c>
      <c r="S29" s="487"/>
      <c r="T29" s="488"/>
      <c r="U29" s="489"/>
      <c r="V29" s="490">
        <f t="shared" si="0"/>
        <v>2300</v>
      </c>
      <c r="W29" s="735"/>
    </row>
    <row r="30" spans="1:23" ht="18.75" hidden="1" customHeight="1" x14ac:dyDescent="0.35">
      <c r="A30" s="491"/>
      <c r="B30" s="500"/>
      <c r="C30" s="493" t="s">
        <v>351</v>
      </c>
      <c r="D30" s="498" t="s">
        <v>269</v>
      </c>
      <c r="E30" s="494"/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5"/>
      <c r="R30" s="486">
        <f t="shared" si="1"/>
        <v>0</v>
      </c>
      <c r="S30" s="487"/>
      <c r="T30" s="488"/>
      <c r="U30" s="489"/>
      <c r="V30" s="490">
        <f t="shared" si="0"/>
        <v>0</v>
      </c>
      <c r="W30" s="735"/>
    </row>
    <row r="31" spans="1:23" x14ac:dyDescent="0.35">
      <c r="A31" s="491"/>
      <c r="B31" s="508"/>
      <c r="C31" s="497" t="s">
        <v>568</v>
      </c>
      <c r="D31" s="482" t="s">
        <v>308</v>
      </c>
      <c r="E31" s="494"/>
      <c r="F31" s="484"/>
      <c r="G31" s="484"/>
      <c r="H31" s="484"/>
      <c r="I31" s="484"/>
      <c r="J31" s="484"/>
      <c r="K31" s="484">
        <v>54535</v>
      </c>
      <c r="L31" s="484"/>
      <c r="M31" s="484"/>
      <c r="N31" s="484"/>
      <c r="O31" s="484"/>
      <c r="P31" s="484"/>
      <c r="Q31" s="485"/>
      <c r="R31" s="486">
        <f t="shared" si="1"/>
        <v>54535</v>
      </c>
      <c r="S31" s="487"/>
      <c r="T31" s="488"/>
      <c r="U31" s="489"/>
      <c r="V31" s="490">
        <f t="shared" si="0"/>
        <v>54535</v>
      </c>
      <c r="W31" s="735"/>
    </row>
    <row r="32" spans="1:23" x14ac:dyDescent="0.35">
      <c r="A32" s="491"/>
      <c r="B32" s="495"/>
      <c r="C32" s="497" t="s">
        <v>369</v>
      </c>
      <c r="D32" s="498" t="s">
        <v>269</v>
      </c>
      <c r="E32" s="494"/>
      <c r="F32" s="484"/>
      <c r="G32" s="484"/>
      <c r="H32" s="484">
        <v>500</v>
      </c>
      <c r="I32" s="484"/>
      <c r="J32" s="484"/>
      <c r="K32" s="484"/>
      <c r="L32" s="484"/>
      <c r="M32" s="484"/>
      <c r="N32" s="484"/>
      <c r="O32" s="484"/>
      <c r="P32" s="484"/>
      <c r="Q32" s="485"/>
      <c r="R32" s="486">
        <f t="shared" si="1"/>
        <v>500</v>
      </c>
      <c r="S32" s="487"/>
      <c r="T32" s="488"/>
      <c r="U32" s="489"/>
      <c r="V32" s="490">
        <f t="shared" si="0"/>
        <v>500</v>
      </c>
      <c r="W32" s="735"/>
    </row>
    <row r="33" spans="1:23" x14ac:dyDescent="0.35">
      <c r="A33" s="491"/>
      <c r="B33" s="508"/>
      <c r="C33" s="497" t="s">
        <v>659</v>
      </c>
      <c r="D33" s="482" t="s">
        <v>308</v>
      </c>
      <c r="E33" s="494"/>
      <c r="F33" s="484">
        <f>2376.835/1.195</f>
        <v>1988.9832635983262</v>
      </c>
      <c r="G33" s="484">
        <f>2376.835-F33</f>
        <v>387.85173640167386</v>
      </c>
      <c r="H33" s="484"/>
      <c r="I33" s="484"/>
      <c r="J33" s="484"/>
      <c r="K33" s="484"/>
      <c r="L33" s="484"/>
      <c r="M33" s="484"/>
      <c r="N33" s="484"/>
      <c r="O33" s="484"/>
      <c r="P33" s="484"/>
      <c r="Q33" s="485"/>
      <c r="R33" s="486">
        <f t="shared" si="1"/>
        <v>2376.835</v>
      </c>
      <c r="S33" s="487"/>
      <c r="T33" s="488"/>
      <c r="U33" s="489"/>
      <c r="V33" s="490">
        <f t="shared" si="0"/>
        <v>2376.835</v>
      </c>
      <c r="W33" s="735"/>
    </row>
    <row r="34" spans="1:23" hidden="1" x14ac:dyDescent="0.35">
      <c r="A34" s="491"/>
      <c r="B34" s="500"/>
      <c r="C34" s="493" t="s">
        <v>355</v>
      </c>
      <c r="D34" s="498" t="s">
        <v>269</v>
      </c>
      <c r="E34" s="494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5"/>
      <c r="R34" s="486">
        <f t="shared" si="1"/>
        <v>0</v>
      </c>
      <c r="S34" s="487"/>
      <c r="T34" s="488"/>
      <c r="U34" s="489"/>
      <c r="V34" s="490">
        <f t="shared" si="0"/>
        <v>0</v>
      </c>
      <c r="W34" s="735"/>
    </row>
    <row r="35" spans="1:23" hidden="1" x14ac:dyDescent="0.35">
      <c r="A35" s="491"/>
      <c r="B35" s="500"/>
      <c r="C35" s="493"/>
      <c r="D35" s="482"/>
      <c r="E35" s="494"/>
      <c r="F35" s="484"/>
      <c r="G35" s="484"/>
      <c r="H35" s="484"/>
      <c r="I35" s="484"/>
      <c r="J35" s="484"/>
      <c r="K35" s="484"/>
      <c r="L35" s="484"/>
      <c r="M35" s="484"/>
      <c r="N35" s="484"/>
      <c r="O35" s="484"/>
      <c r="P35" s="484"/>
      <c r="Q35" s="485"/>
      <c r="R35" s="486">
        <f t="shared" si="1"/>
        <v>0</v>
      </c>
      <c r="S35" s="487"/>
      <c r="T35" s="488"/>
      <c r="U35" s="489"/>
      <c r="V35" s="490">
        <f t="shared" si="0"/>
        <v>0</v>
      </c>
      <c r="W35" s="735"/>
    </row>
    <row r="36" spans="1:23" x14ac:dyDescent="0.35">
      <c r="A36" s="491"/>
      <c r="B36" s="495"/>
      <c r="C36" s="497" t="s">
        <v>378</v>
      </c>
      <c r="D36" s="482" t="s">
        <v>308</v>
      </c>
      <c r="E36" s="494"/>
      <c r="F36" s="484"/>
      <c r="G36" s="484"/>
      <c r="H36" s="484"/>
      <c r="I36" s="484"/>
      <c r="J36" s="484"/>
      <c r="K36" s="484">
        <v>75</v>
      </c>
      <c r="L36" s="484"/>
      <c r="M36" s="484"/>
      <c r="N36" s="484"/>
      <c r="O36" s="484"/>
      <c r="P36" s="484"/>
      <c r="Q36" s="485"/>
      <c r="R36" s="486">
        <f t="shared" si="1"/>
        <v>75</v>
      </c>
      <c r="S36" s="487"/>
      <c r="T36" s="488"/>
      <c r="U36" s="489"/>
      <c r="V36" s="490">
        <f t="shared" si="0"/>
        <v>75</v>
      </c>
      <c r="W36" s="735"/>
    </row>
    <row r="37" spans="1:23" x14ac:dyDescent="0.35">
      <c r="A37" s="491"/>
      <c r="B37" s="508"/>
      <c r="C37" s="497" t="s">
        <v>375</v>
      </c>
      <c r="D37" s="482" t="s">
        <v>308</v>
      </c>
      <c r="E37" s="494">
        <v>15</v>
      </c>
      <c r="F37" s="484">
        <v>42505</v>
      </c>
      <c r="G37" s="484">
        <v>9067</v>
      </c>
      <c r="H37" s="484">
        <v>7234</v>
      </c>
      <c r="I37" s="484"/>
      <c r="J37" s="484"/>
      <c r="K37" s="484"/>
      <c r="L37" s="484">
        <v>1885</v>
      </c>
      <c r="M37" s="484"/>
      <c r="N37" s="484"/>
      <c r="O37" s="484"/>
      <c r="P37" s="484"/>
      <c r="Q37" s="485"/>
      <c r="R37" s="486">
        <f t="shared" si="1"/>
        <v>60691</v>
      </c>
      <c r="S37" s="487"/>
      <c r="T37" s="488"/>
      <c r="U37" s="489"/>
      <c r="V37" s="490">
        <f t="shared" si="0"/>
        <v>60691</v>
      </c>
      <c r="W37" s="735"/>
    </row>
    <row r="38" spans="1:23" x14ac:dyDescent="0.35">
      <c r="A38" s="491"/>
      <c r="B38" s="495"/>
      <c r="C38" s="509" t="s">
        <v>371</v>
      </c>
      <c r="D38" s="510" t="s">
        <v>269</v>
      </c>
      <c r="E38" s="494"/>
      <c r="F38" s="484"/>
      <c r="G38" s="484"/>
      <c r="H38" s="484">
        <v>18000</v>
      </c>
      <c r="I38" s="484"/>
      <c r="J38" s="484"/>
      <c r="K38" s="484"/>
      <c r="L38" s="484"/>
      <c r="M38" s="484"/>
      <c r="N38" s="484"/>
      <c r="O38" s="484"/>
      <c r="P38" s="484"/>
      <c r="Q38" s="485"/>
      <c r="R38" s="486">
        <f t="shared" si="1"/>
        <v>18000</v>
      </c>
      <c r="S38" s="487"/>
      <c r="T38" s="488"/>
      <c r="U38" s="489"/>
      <c r="V38" s="490">
        <f t="shared" si="0"/>
        <v>18000</v>
      </c>
      <c r="W38" s="735"/>
    </row>
    <row r="39" spans="1:23" x14ac:dyDescent="0.35">
      <c r="A39" s="491"/>
      <c r="B39" s="495"/>
      <c r="C39" s="509" t="s">
        <v>655</v>
      </c>
      <c r="D39" s="510" t="s">
        <v>269</v>
      </c>
      <c r="E39" s="494"/>
      <c r="F39" s="484"/>
      <c r="G39" s="484"/>
      <c r="H39" s="484">
        <v>1600</v>
      </c>
      <c r="I39" s="484"/>
      <c r="J39" s="484"/>
      <c r="K39" s="484"/>
      <c r="L39" s="484"/>
      <c r="M39" s="484"/>
      <c r="N39" s="484"/>
      <c r="O39" s="484"/>
      <c r="P39" s="484"/>
      <c r="Q39" s="485"/>
      <c r="R39" s="486">
        <f t="shared" si="1"/>
        <v>1600</v>
      </c>
      <c r="S39" s="487"/>
      <c r="T39" s="488"/>
      <c r="U39" s="489"/>
      <c r="V39" s="490">
        <f t="shared" si="0"/>
        <v>1600</v>
      </c>
      <c r="W39" s="735"/>
    </row>
    <row r="40" spans="1:23" ht="36" x14ac:dyDescent="0.35">
      <c r="A40" s="719"/>
      <c r="B40" s="719"/>
      <c r="C40" s="511" t="s">
        <v>338</v>
      </c>
      <c r="D40" s="498" t="s">
        <v>269</v>
      </c>
      <c r="E40" s="512"/>
      <c r="F40" s="484"/>
      <c r="G40" s="484"/>
      <c r="H40" s="484"/>
      <c r="I40" s="484"/>
      <c r="J40" s="484"/>
      <c r="K40" s="484">
        <v>57765</v>
      </c>
      <c r="L40" s="484"/>
      <c r="M40" s="484"/>
      <c r="N40" s="484"/>
      <c r="O40" s="484"/>
      <c r="P40" s="484"/>
      <c r="Q40" s="485"/>
      <c r="R40" s="486">
        <f t="shared" si="1"/>
        <v>57765</v>
      </c>
      <c r="S40" s="487"/>
      <c r="T40" s="488"/>
      <c r="U40" s="489"/>
      <c r="V40" s="490">
        <f t="shared" si="0"/>
        <v>57765</v>
      </c>
      <c r="W40" s="735"/>
    </row>
    <row r="41" spans="1:23" x14ac:dyDescent="0.35">
      <c r="A41" s="491"/>
      <c r="B41" s="495"/>
      <c r="C41" s="497" t="s">
        <v>359</v>
      </c>
      <c r="D41" s="498" t="s">
        <v>387</v>
      </c>
      <c r="E41" s="494"/>
      <c r="F41" s="484"/>
      <c r="G41" s="484"/>
      <c r="H41" s="484">
        <v>16126</v>
      </c>
      <c r="I41" s="484"/>
      <c r="J41" s="484"/>
      <c r="K41" s="484"/>
      <c r="L41" s="484"/>
      <c r="M41" s="484"/>
      <c r="N41" s="484"/>
      <c r="O41" s="484"/>
      <c r="P41" s="484"/>
      <c r="Q41" s="485"/>
      <c r="R41" s="486">
        <f t="shared" si="1"/>
        <v>16126</v>
      </c>
      <c r="S41" s="487"/>
      <c r="T41" s="488"/>
      <c r="U41" s="485"/>
      <c r="V41" s="490">
        <f t="shared" si="0"/>
        <v>16126</v>
      </c>
      <c r="W41" s="735"/>
    </row>
    <row r="42" spans="1:23" x14ac:dyDescent="0.35">
      <c r="A42" s="491"/>
      <c r="B42" s="500"/>
      <c r="C42" s="493" t="s">
        <v>352</v>
      </c>
      <c r="D42" s="498" t="s">
        <v>269</v>
      </c>
      <c r="E42" s="494"/>
      <c r="F42" s="484"/>
      <c r="G42" s="484"/>
      <c r="H42" s="484">
        <v>1150</v>
      </c>
      <c r="I42" s="484"/>
      <c r="J42" s="484"/>
      <c r="K42" s="484"/>
      <c r="L42" s="484"/>
      <c r="M42" s="484"/>
      <c r="N42" s="484"/>
      <c r="O42" s="484"/>
      <c r="P42" s="484"/>
      <c r="Q42" s="485"/>
      <c r="R42" s="486">
        <f t="shared" si="1"/>
        <v>1150</v>
      </c>
      <c r="S42" s="487"/>
      <c r="T42" s="488"/>
      <c r="U42" s="489"/>
      <c r="V42" s="490">
        <f t="shared" ref="V42:V73" si="2">SUM(R42:U42)</f>
        <v>1150</v>
      </c>
      <c r="W42" s="735"/>
    </row>
    <row r="43" spans="1:23" x14ac:dyDescent="0.35">
      <c r="A43" s="491"/>
      <c r="B43" s="500"/>
      <c r="C43" s="493" t="s">
        <v>653</v>
      </c>
      <c r="D43" s="498" t="s">
        <v>308</v>
      </c>
      <c r="E43" s="494"/>
      <c r="F43" s="484"/>
      <c r="G43" s="484"/>
      <c r="H43" s="484"/>
      <c r="I43" s="484"/>
      <c r="J43" s="484"/>
      <c r="K43" s="484">
        <v>500</v>
      </c>
      <c r="L43" s="484"/>
      <c r="M43" s="484"/>
      <c r="N43" s="484"/>
      <c r="O43" s="484"/>
      <c r="P43" s="484"/>
      <c r="Q43" s="485"/>
      <c r="R43" s="486">
        <f t="shared" si="1"/>
        <v>500</v>
      </c>
      <c r="S43" s="487"/>
      <c r="T43" s="488"/>
      <c r="U43" s="489"/>
      <c r="V43" s="490">
        <f t="shared" si="2"/>
        <v>500</v>
      </c>
      <c r="W43" s="735"/>
    </row>
    <row r="44" spans="1:23" ht="18.75" customHeight="1" x14ac:dyDescent="0.35">
      <c r="A44" s="491"/>
      <c r="B44" s="500"/>
      <c r="C44" s="493" t="s">
        <v>348</v>
      </c>
      <c r="D44" s="498" t="s">
        <v>269</v>
      </c>
      <c r="E44" s="494"/>
      <c r="F44" s="484"/>
      <c r="G44" s="484"/>
      <c r="H44" s="484">
        <v>6000</v>
      </c>
      <c r="I44" s="484"/>
      <c r="J44" s="484"/>
      <c r="K44" s="484"/>
      <c r="L44" s="484"/>
      <c r="M44" s="484"/>
      <c r="N44" s="484"/>
      <c r="O44" s="484"/>
      <c r="P44" s="484"/>
      <c r="Q44" s="485"/>
      <c r="R44" s="486">
        <f t="shared" si="1"/>
        <v>6000</v>
      </c>
      <c r="S44" s="487"/>
      <c r="T44" s="488"/>
      <c r="U44" s="489"/>
      <c r="V44" s="490">
        <f t="shared" si="2"/>
        <v>6000</v>
      </c>
      <c r="W44" s="735"/>
    </row>
    <row r="45" spans="1:23" x14ac:dyDescent="0.35">
      <c r="A45" s="491"/>
      <c r="B45" s="495"/>
      <c r="C45" s="497" t="s">
        <v>380</v>
      </c>
      <c r="D45" s="482" t="s">
        <v>308</v>
      </c>
      <c r="E45" s="494"/>
      <c r="F45" s="484"/>
      <c r="G45" s="484"/>
      <c r="H45" s="484"/>
      <c r="I45" s="484"/>
      <c r="J45" s="484"/>
      <c r="K45" s="484">
        <v>1500</v>
      </c>
      <c r="L45" s="484"/>
      <c r="M45" s="484"/>
      <c r="N45" s="484"/>
      <c r="O45" s="484"/>
      <c r="P45" s="484"/>
      <c r="Q45" s="485"/>
      <c r="R45" s="486">
        <f t="shared" si="1"/>
        <v>1500</v>
      </c>
      <c r="S45" s="487"/>
      <c r="T45" s="488"/>
      <c r="U45" s="489"/>
      <c r="V45" s="490">
        <f t="shared" si="2"/>
        <v>1500</v>
      </c>
      <c r="W45" s="735"/>
    </row>
    <row r="46" spans="1:23" x14ac:dyDescent="0.35">
      <c r="A46" s="513"/>
      <c r="B46" s="514"/>
      <c r="C46" s="497" t="s">
        <v>303</v>
      </c>
      <c r="D46" s="498" t="s">
        <v>269</v>
      </c>
      <c r="E46" s="494">
        <v>30</v>
      </c>
      <c r="F46" s="484">
        <v>32676</v>
      </c>
      <c r="G46" s="484">
        <v>3605</v>
      </c>
      <c r="H46" s="484"/>
      <c r="I46" s="484"/>
      <c r="J46" s="484"/>
      <c r="K46" s="484"/>
      <c r="L46" s="484"/>
      <c r="M46" s="484"/>
      <c r="N46" s="484"/>
      <c r="O46" s="484"/>
      <c r="P46" s="484"/>
      <c r="Q46" s="485"/>
      <c r="R46" s="486">
        <f t="shared" si="1"/>
        <v>36281</v>
      </c>
      <c r="S46" s="515"/>
      <c r="T46" s="516"/>
      <c r="U46" s="517"/>
      <c r="V46" s="490">
        <f t="shared" si="2"/>
        <v>36281</v>
      </c>
      <c r="W46" s="735"/>
    </row>
    <row r="47" spans="1:23" x14ac:dyDescent="0.35">
      <c r="A47" s="501"/>
      <c r="B47" s="492"/>
      <c r="C47" s="502" t="s">
        <v>392</v>
      </c>
      <c r="D47" s="482" t="s">
        <v>387</v>
      </c>
      <c r="E47" s="494"/>
      <c r="F47" s="503"/>
      <c r="G47" s="503"/>
      <c r="H47" s="503"/>
      <c r="I47" s="503">
        <v>850</v>
      </c>
      <c r="J47" s="503"/>
      <c r="K47" s="503"/>
      <c r="L47" s="503"/>
      <c r="M47" s="503"/>
      <c r="N47" s="503"/>
      <c r="O47" s="503"/>
      <c r="P47" s="503"/>
      <c r="Q47" s="504"/>
      <c r="R47" s="486">
        <f t="shared" si="1"/>
        <v>850</v>
      </c>
      <c r="S47" s="505"/>
      <c r="T47" s="506"/>
      <c r="U47" s="507"/>
      <c r="V47" s="490">
        <f t="shared" si="2"/>
        <v>850</v>
      </c>
      <c r="W47" s="735"/>
    </row>
    <row r="48" spans="1:23" x14ac:dyDescent="0.35">
      <c r="A48" s="491"/>
      <c r="B48" s="500"/>
      <c r="C48" s="493" t="s">
        <v>560</v>
      </c>
      <c r="D48" s="482" t="s">
        <v>308</v>
      </c>
      <c r="E48" s="494"/>
      <c r="F48" s="484"/>
      <c r="G48" s="484"/>
      <c r="H48" s="484"/>
      <c r="I48" s="484"/>
      <c r="J48" s="484"/>
      <c r="K48" s="484">
        <v>500</v>
      </c>
      <c r="L48" s="484"/>
      <c r="M48" s="484"/>
      <c r="N48" s="484"/>
      <c r="O48" s="484"/>
      <c r="P48" s="484"/>
      <c r="Q48" s="485"/>
      <c r="R48" s="486">
        <f t="shared" si="1"/>
        <v>500</v>
      </c>
      <c r="S48" s="487"/>
      <c r="T48" s="488"/>
      <c r="U48" s="485"/>
      <c r="V48" s="490">
        <f t="shared" si="2"/>
        <v>500</v>
      </c>
      <c r="W48" s="735"/>
    </row>
    <row r="49" spans="1:23" ht="36" x14ac:dyDescent="0.35">
      <c r="A49" s="491"/>
      <c r="B49" s="480"/>
      <c r="C49" s="481" t="s">
        <v>243</v>
      </c>
      <c r="D49" s="482" t="s">
        <v>269</v>
      </c>
      <c r="E49" s="483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5"/>
      <c r="R49" s="486">
        <f t="shared" si="1"/>
        <v>0</v>
      </c>
      <c r="S49" s="487"/>
      <c r="T49" s="488"/>
      <c r="U49" s="485">
        <f>SUM('4. Int.bev.'!Q7+'4. Int.bev.'!Q13+'4. Int.bev.'!Q24)</f>
        <v>1006716</v>
      </c>
      <c r="V49" s="490">
        <f t="shared" si="2"/>
        <v>1006716</v>
      </c>
      <c r="W49" s="735"/>
    </row>
    <row r="50" spans="1:23" ht="36" x14ac:dyDescent="0.35">
      <c r="A50" s="491"/>
      <c r="B50" s="480"/>
      <c r="C50" s="481" t="s">
        <v>243</v>
      </c>
      <c r="D50" s="482" t="s">
        <v>308</v>
      </c>
      <c r="E50" s="483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5"/>
      <c r="R50" s="486">
        <f t="shared" si="1"/>
        <v>0</v>
      </c>
      <c r="S50" s="487"/>
      <c r="T50" s="488"/>
      <c r="U50" s="485">
        <f>SUM('4. Int.bev.'!Q19)</f>
        <v>68435</v>
      </c>
      <c r="V50" s="490">
        <f t="shared" si="2"/>
        <v>68435</v>
      </c>
      <c r="W50" s="735"/>
    </row>
    <row r="51" spans="1:23" ht="36" hidden="1" x14ac:dyDescent="0.35">
      <c r="A51" s="491"/>
      <c r="B51" s="480"/>
      <c r="C51" s="481" t="s">
        <v>243</v>
      </c>
      <c r="D51" s="482" t="s">
        <v>387</v>
      </c>
      <c r="E51" s="483"/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5"/>
      <c r="R51" s="486">
        <f t="shared" si="1"/>
        <v>0</v>
      </c>
      <c r="S51" s="487"/>
      <c r="T51" s="488"/>
      <c r="U51" s="485"/>
      <c r="V51" s="490">
        <f t="shared" si="2"/>
        <v>0</v>
      </c>
      <c r="W51" s="735"/>
    </row>
    <row r="52" spans="1:23" x14ac:dyDescent="0.35">
      <c r="A52" s="501"/>
      <c r="B52" s="492"/>
      <c r="C52" s="502" t="s">
        <v>391</v>
      </c>
      <c r="D52" s="482" t="s">
        <v>387</v>
      </c>
      <c r="E52" s="494"/>
      <c r="F52" s="503"/>
      <c r="G52" s="503"/>
      <c r="H52" s="503"/>
      <c r="I52" s="503">
        <v>2500</v>
      </c>
      <c r="J52" s="503"/>
      <c r="K52" s="503"/>
      <c r="L52" s="503"/>
      <c r="M52" s="503"/>
      <c r="N52" s="503"/>
      <c r="O52" s="503"/>
      <c r="P52" s="503"/>
      <c r="Q52" s="504"/>
      <c r="R52" s="486">
        <f t="shared" si="1"/>
        <v>2500</v>
      </c>
      <c r="S52" s="505"/>
      <c r="T52" s="506"/>
      <c r="U52" s="507"/>
      <c r="V52" s="490">
        <f t="shared" si="2"/>
        <v>2500</v>
      </c>
      <c r="W52" s="735"/>
    </row>
    <row r="53" spans="1:23" hidden="1" x14ac:dyDescent="0.35">
      <c r="A53" s="491"/>
      <c r="B53" s="495"/>
      <c r="C53" s="497" t="s">
        <v>370</v>
      </c>
      <c r="D53" s="498" t="s">
        <v>269</v>
      </c>
      <c r="E53" s="494"/>
      <c r="F53" s="484"/>
      <c r="G53" s="484"/>
      <c r="H53" s="484"/>
      <c r="I53" s="484"/>
      <c r="J53" s="484"/>
      <c r="K53" s="484"/>
      <c r="L53" s="484"/>
      <c r="M53" s="484"/>
      <c r="N53" s="484"/>
      <c r="O53" s="484"/>
      <c r="P53" s="484"/>
      <c r="Q53" s="485"/>
      <c r="R53" s="486">
        <f t="shared" si="1"/>
        <v>0</v>
      </c>
      <c r="S53" s="487"/>
      <c r="T53" s="488"/>
      <c r="U53" s="489"/>
      <c r="V53" s="490">
        <f t="shared" si="2"/>
        <v>0</v>
      </c>
      <c r="W53" s="735"/>
    </row>
    <row r="54" spans="1:23" x14ac:dyDescent="0.35">
      <c r="A54" s="491"/>
      <c r="B54" s="500"/>
      <c r="C54" s="493" t="s">
        <v>340</v>
      </c>
      <c r="D54" s="498" t="s">
        <v>269</v>
      </c>
      <c r="E54" s="494"/>
      <c r="F54" s="484"/>
      <c r="G54" s="484"/>
      <c r="H54" s="484">
        <v>81529</v>
      </c>
      <c r="I54" s="484"/>
      <c r="J54" s="484"/>
      <c r="K54" s="484"/>
      <c r="L54" s="484">
        <v>5000</v>
      </c>
      <c r="M54" s="484">
        <v>10196</v>
      </c>
      <c r="N54" s="484"/>
      <c r="O54" s="484"/>
      <c r="P54" s="484"/>
      <c r="Q54" s="485"/>
      <c r="R54" s="486">
        <f t="shared" si="1"/>
        <v>96725</v>
      </c>
      <c r="S54" s="487"/>
      <c r="T54" s="488"/>
      <c r="U54" s="489"/>
      <c r="V54" s="490">
        <f t="shared" si="2"/>
        <v>96725</v>
      </c>
      <c r="W54" s="735"/>
    </row>
    <row r="55" spans="1:23" x14ac:dyDescent="0.35">
      <c r="A55" s="491"/>
      <c r="B55" s="500"/>
      <c r="C55" s="493" t="s">
        <v>346</v>
      </c>
      <c r="D55" s="498" t="s">
        <v>269</v>
      </c>
      <c r="E55" s="494"/>
      <c r="F55" s="484"/>
      <c r="G55" s="484"/>
      <c r="H55" s="484">
        <v>59000</v>
      </c>
      <c r="I55" s="484"/>
      <c r="J55" s="484"/>
      <c r="K55" s="484"/>
      <c r="L55" s="484">
        <v>24500</v>
      </c>
      <c r="M55" s="484">
        <v>700</v>
      </c>
      <c r="N55" s="484"/>
      <c r="O55" s="484"/>
      <c r="P55" s="484"/>
      <c r="Q55" s="485"/>
      <c r="R55" s="486">
        <f t="shared" si="1"/>
        <v>84200</v>
      </c>
      <c r="S55" s="487"/>
      <c r="T55" s="488"/>
      <c r="U55" s="489"/>
      <c r="V55" s="490">
        <f t="shared" si="2"/>
        <v>84200</v>
      </c>
      <c r="W55" s="735"/>
    </row>
    <row r="56" spans="1:23" x14ac:dyDescent="0.35">
      <c r="A56" s="491"/>
      <c r="B56" s="500"/>
      <c r="C56" s="493" t="s">
        <v>389</v>
      </c>
      <c r="D56" s="482" t="s">
        <v>387</v>
      </c>
      <c r="E56" s="494"/>
      <c r="F56" s="484"/>
      <c r="G56" s="484"/>
      <c r="H56" s="484"/>
      <c r="I56" s="484">
        <v>3000</v>
      </c>
      <c r="J56" s="484"/>
      <c r="K56" s="484"/>
      <c r="L56" s="484"/>
      <c r="M56" s="484"/>
      <c r="N56" s="484"/>
      <c r="O56" s="484"/>
      <c r="P56" s="484"/>
      <c r="Q56" s="485"/>
      <c r="R56" s="486">
        <f t="shared" si="1"/>
        <v>3000</v>
      </c>
      <c r="S56" s="487"/>
      <c r="T56" s="488"/>
      <c r="U56" s="489"/>
      <c r="V56" s="490">
        <f t="shared" si="2"/>
        <v>3000</v>
      </c>
      <c r="W56" s="735"/>
    </row>
    <row r="57" spans="1:23" hidden="1" x14ac:dyDescent="0.35">
      <c r="A57" s="491"/>
      <c r="B57" s="495"/>
      <c r="C57" s="509" t="s">
        <v>372</v>
      </c>
      <c r="D57" s="510" t="s">
        <v>308</v>
      </c>
      <c r="E57" s="494"/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5"/>
      <c r="R57" s="486">
        <f t="shared" si="1"/>
        <v>0</v>
      </c>
      <c r="S57" s="487"/>
      <c r="T57" s="488"/>
      <c r="U57" s="489"/>
      <c r="V57" s="490">
        <f t="shared" si="2"/>
        <v>0</v>
      </c>
      <c r="W57" s="735"/>
    </row>
    <row r="58" spans="1:23" x14ac:dyDescent="0.35">
      <c r="A58" s="491"/>
      <c r="B58" s="492"/>
      <c r="C58" s="493" t="s">
        <v>394</v>
      </c>
      <c r="D58" s="482" t="s">
        <v>387</v>
      </c>
      <c r="E58" s="494"/>
      <c r="F58" s="484"/>
      <c r="G58" s="484"/>
      <c r="H58" s="484"/>
      <c r="I58" s="484">
        <v>200</v>
      </c>
      <c r="J58" s="484"/>
      <c r="K58" s="484"/>
      <c r="L58" s="484"/>
      <c r="M58" s="484"/>
      <c r="N58" s="484"/>
      <c r="O58" s="484"/>
      <c r="P58" s="484"/>
      <c r="Q58" s="485"/>
      <c r="R58" s="486">
        <f t="shared" si="1"/>
        <v>200</v>
      </c>
      <c r="S58" s="487"/>
      <c r="T58" s="488"/>
      <c r="U58" s="489"/>
      <c r="V58" s="490">
        <f t="shared" si="2"/>
        <v>200</v>
      </c>
      <c r="W58" s="735"/>
    </row>
    <row r="59" spans="1:23" ht="36" x14ac:dyDescent="0.35">
      <c r="A59" s="491"/>
      <c r="B59" s="508"/>
      <c r="C59" s="497" t="s">
        <v>356</v>
      </c>
      <c r="D59" s="498" t="s">
        <v>269</v>
      </c>
      <c r="E59" s="494"/>
      <c r="F59" s="484"/>
      <c r="G59" s="484"/>
      <c r="H59" s="484"/>
      <c r="I59" s="484"/>
      <c r="J59" s="484"/>
      <c r="K59" s="484">
        <v>1000</v>
      </c>
      <c r="L59" s="484"/>
      <c r="M59" s="484"/>
      <c r="N59" s="484"/>
      <c r="O59" s="484"/>
      <c r="P59" s="484"/>
      <c r="Q59" s="485"/>
      <c r="R59" s="486">
        <f t="shared" si="1"/>
        <v>1000</v>
      </c>
      <c r="S59" s="487"/>
      <c r="T59" s="488"/>
      <c r="U59" s="489"/>
      <c r="V59" s="490">
        <f t="shared" si="2"/>
        <v>1000</v>
      </c>
      <c r="W59" s="735"/>
    </row>
    <row r="60" spans="1:23" x14ac:dyDescent="0.35">
      <c r="A60" s="518"/>
      <c r="B60" s="500"/>
      <c r="C60" s="493" t="s">
        <v>374</v>
      </c>
      <c r="D60" s="482" t="s">
        <v>308</v>
      </c>
      <c r="E60" s="494"/>
      <c r="F60" s="484"/>
      <c r="G60" s="484"/>
      <c r="H60" s="484">
        <v>13600</v>
      </c>
      <c r="I60" s="484"/>
      <c r="J60" s="484"/>
      <c r="K60" s="484"/>
      <c r="L60" s="484"/>
      <c r="M60" s="484"/>
      <c r="N60" s="484"/>
      <c r="O60" s="484"/>
      <c r="P60" s="484"/>
      <c r="Q60" s="485"/>
      <c r="R60" s="486">
        <f t="shared" si="1"/>
        <v>13600</v>
      </c>
      <c r="S60" s="487"/>
      <c r="T60" s="488"/>
      <c r="U60" s="489"/>
      <c r="V60" s="490">
        <f t="shared" si="2"/>
        <v>13600</v>
      </c>
      <c r="W60" s="735"/>
    </row>
    <row r="61" spans="1:23" x14ac:dyDescent="0.35">
      <c r="A61" s="491"/>
      <c r="B61" s="495"/>
      <c r="C61" s="497" t="s">
        <v>382</v>
      </c>
      <c r="D61" s="482" t="s">
        <v>308</v>
      </c>
      <c r="E61" s="494"/>
      <c r="F61" s="484"/>
      <c r="G61" s="484"/>
      <c r="H61" s="484">
        <v>1500</v>
      </c>
      <c r="I61" s="484"/>
      <c r="J61" s="484"/>
      <c r="K61" s="484"/>
      <c r="L61" s="484"/>
      <c r="M61" s="484"/>
      <c r="N61" s="484"/>
      <c r="O61" s="484"/>
      <c r="P61" s="484"/>
      <c r="Q61" s="485"/>
      <c r="R61" s="486">
        <f t="shared" si="1"/>
        <v>1500</v>
      </c>
      <c r="S61" s="487"/>
      <c r="T61" s="488"/>
      <c r="U61" s="489"/>
      <c r="V61" s="490">
        <f t="shared" si="2"/>
        <v>1500</v>
      </c>
      <c r="W61" s="735"/>
    </row>
    <row r="62" spans="1:23" x14ac:dyDescent="0.35">
      <c r="A62" s="491"/>
      <c r="B62" s="495"/>
      <c r="C62" s="497" t="s">
        <v>295</v>
      </c>
      <c r="D62" s="498" t="s">
        <v>269</v>
      </c>
      <c r="E62" s="494">
        <v>3</v>
      </c>
      <c r="F62" s="484">
        <v>29855</v>
      </c>
      <c r="G62" s="484">
        <v>5822</v>
      </c>
      <c r="H62" s="484">
        <v>6000</v>
      </c>
      <c r="I62" s="484"/>
      <c r="J62" s="484"/>
      <c r="K62" s="484"/>
      <c r="L62" s="484"/>
      <c r="M62" s="484"/>
      <c r="N62" s="484"/>
      <c r="O62" s="484"/>
      <c r="P62" s="484"/>
      <c r="Q62" s="485"/>
      <c r="R62" s="486">
        <f t="shared" si="1"/>
        <v>41677</v>
      </c>
      <c r="S62" s="487"/>
      <c r="T62" s="488"/>
      <c r="U62" s="489"/>
      <c r="V62" s="490">
        <f t="shared" si="2"/>
        <v>41677</v>
      </c>
      <c r="W62" s="735"/>
    </row>
    <row r="63" spans="1:23" ht="34.5" x14ac:dyDescent="0.35">
      <c r="A63" s="491"/>
      <c r="B63" s="495"/>
      <c r="C63" s="519" t="s">
        <v>383</v>
      </c>
      <c r="D63" s="482" t="s">
        <v>308</v>
      </c>
      <c r="E63" s="520">
        <v>25</v>
      </c>
      <c r="F63" s="484">
        <v>18102</v>
      </c>
      <c r="G63" s="484">
        <v>3530</v>
      </c>
      <c r="H63" s="484"/>
      <c r="I63" s="484"/>
      <c r="J63" s="484"/>
      <c r="K63" s="484"/>
      <c r="L63" s="484"/>
      <c r="M63" s="484"/>
      <c r="N63" s="484"/>
      <c r="O63" s="484"/>
      <c r="P63" s="484"/>
      <c r="Q63" s="485"/>
      <c r="R63" s="486">
        <f t="shared" si="1"/>
        <v>21632</v>
      </c>
      <c r="S63" s="487"/>
      <c r="T63" s="488"/>
      <c r="U63" s="489"/>
      <c r="V63" s="490">
        <f t="shared" si="2"/>
        <v>21632</v>
      </c>
      <c r="W63" s="735"/>
    </row>
    <row r="64" spans="1:23" ht="34.5" x14ac:dyDescent="0.35">
      <c r="A64" s="491"/>
      <c r="B64" s="500"/>
      <c r="C64" s="519" t="s">
        <v>384</v>
      </c>
      <c r="D64" s="482" t="s">
        <v>308</v>
      </c>
      <c r="E64" s="520">
        <v>1</v>
      </c>
      <c r="F64" s="484">
        <v>7200</v>
      </c>
      <c r="G64" s="484">
        <v>1404</v>
      </c>
      <c r="H64" s="484"/>
      <c r="I64" s="484"/>
      <c r="J64" s="484"/>
      <c r="K64" s="484"/>
      <c r="L64" s="484"/>
      <c r="M64" s="484"/>
      <c r="N64" s="484"/>
      <c r="O64" s="484"/>
      <c r="P64" s="484"/>
      <c r="Q64" s="485"/>
      <c r="R64" s="486">
        <f t="shared" si="1"/>
        <v>8604</v>
      </c>
      <c r="S64" s="487"/>
      <c r="T64" s="488"/>
      <c r="U64" s="489"/>
      <c r="V64" s="490">
        <f t="shared" si="2"/>
        <v>8604</v>
      </c>
      <c r="W64" s="735"/>
    </row>
    <row r="65" spans="1:23" ht="36" x14ac:dyDescent="0.35">
      <c r="A65" s="491"/>
      <c r="B65" s="500"/>
      <c r="C65" s="497" t="s">
        <v>654</v>
      </c>
      <c r="D65" s="482" t="s">
        <v>269</v>
      </c>
      <c r="E65" s="494"/>
      <c r="F65" s="484"/>
      <c r="G65" s="484"/>
      <c r="H65" s="484"/>
      <c r="I65" s="484"/>
      <c r="J65" s="484"/>
      <c r="K65" s="484"/>
      <c r="L65" s="484"/>
      <c r="M65" s="484">
        <v>29000</v>
      </c>
      <c r="N65" s="484"/>
      <c r="O65" s="484"/>
      <c r="P65" s="484"/>
      <c r="Q65" s="485"/>
      <c r="R65" s="486">
        <f t="shared" si="1"/>
        <v>29000</v>
      </c>
      <c r="S65" s="487"/>
      <c r="T65" s="488"/>
      <c r="U65" s="489"/>
      <c r="V65" s="490">
        <f t="shared" si="2"/>
        <v>29000</v>
      </c>
      <c r="W65" s="735"/>
    </row>
    <row r="66" spans="1:23" x14ac:dyDescent="0.35">
      <c r="A66" s="491"/>
      <c r="B66" s="508"/>
      <c r="C66" s="497" t="s">
        <v>377</v>
      </c>
      <c r="D66" s="482" t="s">
        <v>308</v>
      </c>
      <c r="E66" s="494"/>
      <c r="F66" s="484"/>
      <c r="G66" s="484"/>
      <c r="H66" s="484"/>
      <c r="I66" s="484"/>
      <c r="J66" s="484"/>
      <c r="K66" s="484">
        <v>17757</v>
      </c>
      <c r="L66" s="484"/>
      <c r="M66" s="484"/>
      <c r="N66" s="484"/>
      <c r="O66" s="484"/>
      <c r="P66" s="484"/>
      <c r="Q66" s="485"/>
      <c r="R66" s="486">
        <f t="shared" si="1"/>
        <v>17757</v>
      </c>
      <c r="S66" s="487"/>
      <c r="T66" s="488"/>
      <c r="U66" s="489"/>
      <c r="V66" s="490">
        <f t="shared" si="2"/>
        <v>17757</v>
      </c>
      <c r="W66" s="735"/>
    </row>
    <row r="67" spans="1:23" x14ac:dyDescent="0.35">
      <c r="A67" s="491"/>
      <c r="B67" s="495"/>
      <c r="C67" s="497" t="s">
        <v>648</v>
      </c>
      <c r="D67" s="498" t="s">
        <v>308</v>
      </c>
      <c r="E67" s="494"/>
      <c r="F67" s="484"/>
      <c r="G67" s="484"/>
      <c r="H67" s="484"/>
      <c r="I67" s="484"/>
      <c r="J67" s="484"/>
      <c r="K67" s="484"/>
      <c r="L67" s="484"/>
      <c r="M67" s="484">
        <f>218884+18000</f>
        <v>236884</v>
      </c>
      <c r="N67" s="484"/>
      <c r="O67" s="484"/>
      <c r="P67" s="484"/>
      <c r="Q67" s="485"/>
      <c r="R67" s="486">
        <f t="shared" si="1"/>
        <v>236884</v>
      </c>
      <c r="S67" s="487"/>
      <c r="T67" s="488"/>
      <c r="U67" s="489"/>
      <c r="V67" s="490">
        <f t="shared" si="2"/>
        <v>236884</v>
      </c>
      <c r="W67" s="735"/>
    </row>
    <row r="68" spans="1:23" x14ac:dyDescent="0.35">
      <c r="A68" s="491"/>
      <c r="B68" s="495"/>
      <c r="C68" s="497" t="s">
        <v>579</v>
      </c>
      <c r="D68" s="498" t="s">
        <v>269</v>
      </c>
      <c r="E68" s="494"/>
      <c r="F68" s="484"/>
      <c r="G68" s="484"/>
      <c r="H68" s="484"/>
      <c r="I68" s="484"/>
      <c r="J68" s="484"/>
      <c r="K68" s="484">
        <v>21500</v>
      </c>
      <c r="L68" s="484"/>
      <c r="M68" s="484"/>
      <c r="N68" s="484"/>
      <c r="O68" s="484"/>
      <c r="P68" s="484"/>
      <c r="Q68" s="485"/>
      <c r="R68" s="486">
        <f t="shared" si="1"/>
        <v>21500</v>
      </c>
      <c r="S68" s="487"/>
      <c r="T68" s="488"/>
      <c r="U68" s="489"/>
      <c r="V68" s="490">
        <f t="shared" si="2"/>
        <v>21500</v>
      </c>
      <c r="W68" s="735"/>
    </row>
    <row r="69" spans="1:23" ht="21.75" customHeight="1" x14ac:dyDescent="0.35">
      <c r="A69" s="491"/>
      <c r="B69" s="500"/>
      <c r="C69" s="493" t="s">
        <v>347</v>
      </c>
      <c r="D69" s="498" t="s">
        <v>269</v>
      </c>
      <c r="E69" s="494"/>
      <c r="F69" s="484"/>
      <c r="G69" s="484"/>
      <c r="H69" s="484">
        <v>4500</v>
      </c>
      <c r="I69" s="484"/>
      <c r="J69" s="484"/>
      <c r="K69" s="484"/>
      <c r="L69" s="484">
        <v>740</v>
      </c>
      <c r="M69" s="484"/>
      <c r="N69" s="484"/>
      <c r="O69" s="484"/>
      <c r="P69" s="484"/>
      <c r="Q69" s="485"/>
      <c r="R69" s="486">
        <f t="shared" si="1"/>
        <v>5240</v>
      </c>
      <c r="S69" s="487"/>
      <c r="T69" s="488"/>
      <c r="U69" s="489"/>
      <c r="V69" s="490">
        <f t="shared" si="2"/>
        <v>5240</v>
      </c>
      <c r="W69" s="735"/>
    </row>
    <row r="70" spans="1:23" x14ac:dyDescent="0.35">
      <c r="A70" s="491"/>
      <c r="B70" s="495"/>
      <c r="C70" s="509" t="s">
        <v>559</v>
      </c>
      <c r="D70" s="510" t="s">
        <v>269</v>
      </c>
      <c r="E70" s="494"/>
      <c r="F70" s="484"/>
      <c r="G70" s="484"/>
      <c r="H70" s="484">
        <v>10890</v>
      </c>
      <c r="I70" s="484"/>
      <c r="J70" s="484"/>
      <c r="K70" s="484"/>
      <c r="L70" s="484"/>
      <c r="M70" s="484"/>
      <c r="N70" s="484"/>
      <c r="O70" s="484"/>
      <c r="P70" s="484"/>
      <c r="Q70" s="485"/>
      <c r="R70" s="486">
        <f t="shared" si="1"/>
        <v>10890</v>
      </c>
      <c r="S70" s="487"/>
      <c r="T70" s="488"/>
      <c r="U70" s="489"/>
      <c r="V70" s="490">
        <f t="shared" si="2"/>
        <v>10890</v>
      </c>
      <c r="W70" s="735"/>
    </row>
    <row r="71" spans="1:23" ht="33.75" customHeight="1" x14ac:dyDescent="0.35">
      <c r="A71" s="491"/>
      <c r="B71" s="500"/>
      <c r="C71" s="493" t="s">
        <v>343</v>
      </c>
      <c r="D71" s="498" t="s">
        <v>269</v>
      </c>
      <c r="E71" s="494"/>
      <c r="F71" s="484"/>
      <c r="G71" s="484"/>
      <c r="H71" s="484">
        <v>3000</v>
      </c>
      <c r="I71" s="484"/>
      <c r="J71" s="484"/>
      <c r="K71" s="484"/>
      <c r="L71" s="484"/>
      <c r="M71" s="484"/>
      <c r="N71" s="484"/>
      <c r="O71" s="484"/>
      <c r="P71" s="484"/>
      <c r="Q71" s="485"/>
      <c r="R71" s="486">
        <f t="shared" si="1"/>
        <v>3000</v>
      </c>
      <c r="S71" s="487"/>
      <c r="T71" s="488"/>
      <c r="U71" s="489"/>
      <c r="V71" s="490">
        <f t="shared" si="2"/>
        <v>3000</v>
      </c>
      <c r="W71" s="735"/>
    </row>
    <row r="72" spans="1:23" ht="36" x14ac:dyDescent="0.35">
      <c r="A72" s="501"/>
      <c r="B72" s="492"/>
      <c r="C72" s="502" t="s">
        <v>388</v>
      </c>
      <c r="D72" s="482" t="s">
        <v>269</v>
      </c>
      <c r="E72" s="494"/>
      <c r="F72" s="503"/>
      <c r="G72" s="503"/>
      <c r="H72" s="503"/>
      <c r="I72" s="503">
        <v>15500</v>
      </c>
      <c r="J72" s="503"/>
      <c r="K72" s="503"/>
      <c r="L72" s="503"/>
      <c r="M72" s="503"/>
      <c r="N72" s="503"/>
      <c r="O72" s="503"/>
      <c r="P72" s="503"/>
      <c r="Q72" s="504"/>
      <c r="R72" s="486">
        <f t="shared" si="1"/>
        <v>15500</v>
      </c>
      <c r="S72" s="505"/>
      <c r="T72" s="506"/>
      <c r="U72" s="507"/>
      <c r="V72" s="490">
        <f t="shared" si="2"/>
        <v>15500</v>
      </c>
      <c r="W72" s="735"/>
    </row>
    <row r="73" spans="1:23" x14ac:dyDescent="0.35">
      <c r="A73" s="491"/>
      <c r="B73" s="500"/>
      <c r="C73" s="493" t="s">
        <v>357</v>
      </c>
      <c r="D73" s="498" t="s">
        <v>269</v>
      </c>
      <c r="E73" s="494"/>
      <c r="F73" s="484"/>
      <c r="G73" s="484"/>
      <c r="H73" s="484">
        <v>12900</v>
      </c>
      <c r="I73" s="484"/>
      <c r="J73" s="484"/>
      <c r="K73" s="484"/>
      <c r="L73" s="484"/>
      <c r="M73" s="484"/>
      <c r="N73" s="484"/>
      <c r="O73" s="484"/>
      <c r="P73" s="484"/>
      <c r="Q73" s="485"/>
      <c r="R73" s="486">
        <f t="shared" si="1"/>
        <v>12900</v>
      </c>
      <c r="S73" s="487"/>
      <c r="T73" s="488"/>
      <c r="U73" s="489"/>
      <c r="V73" s="490">
        <f t="shared" si="2"/>
        <v>12900</v>
      </c>
      <c r="W73" s="735"/>
    </row>
    <row r="74" spans="1:23" x14ac:dyDescent="0.35">
      <c r="A74" s="491"/>
      <c r="B74" s="500"/>
      <c r="C74" s="493" t="s">
        <v>345</v>
      </c>
      <c r="D74" s="498" t="s">
        <v>269</v>
      </c>
      <c r="E74" s="494"/>
      <c r="F74" s="484"/>
      <c r="G74" s="484"/>
      <c r="H74" s="484">
        <v>4950</v>
      </c>
      <c r="I74" s="484"/>
      <c r="J74" s="484"/>
      <c r="K74" s="484"/>
      <c r="L74" s="484"/>
      <c r="M74" s="484"/>
      <c r="N74" s="484"/>
      <c r="O74" s="484"/>
      <c r="P74" s="484"/>
      <c r="Q74" s="485"/>
      <c r="R74" s="486">
        <f t="shared" si="1"/>
        <v>4950</v>
      </c>
      <c r="S74" s="487"/>
      <c r="T74" s="488"/>
      <c r="U74" s="489"/>
      <c r="V74" s="490">
        <f t="shared" ref="V74:V104" si="3">SUM(R74:U74)</f>
        <v>4950</v>
      </c>
      <c r="W74" s="735"/>
    </row>
    <row r="75" spans="1:23" x14ac:dyDescent="0.35">
      <c r="A75" s="491"/>
      <c r="B75" s="495"/>
      <c r="C75" s="497" t="s">
        <v>656</v>
      </c>
      <c r="D75" s="498"/>
      <c r="E75" s="494"/>
      <c r="F75" s="484"/>
      <c r="G75" s="484"/>
      <c r="H75" s="484"/>
      <c r="I75" s="484"/>
      <c r="J75" s="484"/>
      <c r="K75" s="484">
        <f>1851+8854</f>
        <v>10705</v>
      </c>
      <c r="L75" s="484"/>
      <c r="M75" s="484"/>
      <c r="N75" s="484"/>
      <c r="O75" s="484"/>
      <c r="P75" s="484"/>
      <c r="Q75" s="485"/>
      <c r="R75" s="486">
        <f t="shared" ref="R75:R102" si="4">SUM(F75:Q75)</f>
        <v>10705</v>
      </c>
      <c r="S75" s="487"/>
      <c r="T75" s="488"/>
      <c r="U75" s="489"/>
      <c r="V75" s="490">
        <f t="shared" si="3"/>
        <v>10705</v>
      </c>
      <c r="W75" s="735"/>
    </row>
    <row r="76" spans="1:23" x14ac:dyDescent="0.35">
      <c r="A76" s="491"/>
      <c r="B76" s="495"/>
      <c r="C76" s="497" t="s">
        <v>368</v>
      </c>
      <c r="D76" s="498" t="s">
        <v>269</v>
      </c>
      <c r="E76" s="494"/>
      <c r="F76" s="484"/>
      <c r="G76" s="484"/>
      <c r="H76" s="484"/>
      <c r="I76" s="484"/>
      <c r="J76" s="484"/>
      <c r="K76" s="484">
        <v>69570</v>
      </c>
      <c r="L76" s="484"/>
      <c r="M76" s="484"/>
      <c r="N76" s="484"/>
      <c r="O76" s="484"/>
      <c r="P76" s="484"/>
      <c r="Q76" s="485"/>
      <c r="R76" s="486">
        <f t="shared" si="4"/>
        <v>69570</v>
      </c>
      <c r="S76" s="487"/>
      <c r="T76" s="488"/>
      <c r="U76" s="489"/>
      <c r="V76" s="490">
        <f t="shared" si="3"/>
        <v>69570</v>
      </c>
      <c r="W76" s="735"/>
    </row>
    <row r="77" spans="1:23" x14ac:dyDescent="0.35">
      <c r="A77" s="491"/>
      <c r="B77" s="508"/>
      <c r="C77" s="497" t="s">
        <v>376</v>
      </c>
      <c r="D77" s="482" t="s">
        <v>308</v>
      </c>
      <c r="E77" s="494"/>
      <c r="F77" s="484"/>
      <c r="G77" s="484"/>
      <c r="H77" s="484"/>
      <c r="I77" s="484"/>
      <c r="J77" s="484"/>
      <c r="K77" s="484">
        <v>24792</v>
      </c>
      <c r="L77" s="484"/>
      <c r="M77" s="484"/>
      <c r="N77" s="484"/>
      <c r="O77" s="484"/>
      <c r="P77" s="484"/>
      <c r="Q77" s="485"/>
      <c r="R77" s="486">
        <f t="shared" si="4"/>
        <v>24792</v>
      </c>
      <c r="S77" s="487"/>
      <c r="T77" s="488"/>
      <c r="U77" s="489"/>
      <c r="V77" s="490">
        <f t="shared" si="3"/>
        <v>24792</v>
      </c>
      <c r="W77" s="735"/>
    </row>
    <row r="78" spans="1:23" ht="36" x14ac:dyDescent="0.35">
      <c r="A78" s="491"/>
      <c r="B78" s="508"/>
      <c r="C78" s="497" t="s">
        <v>564</v>
      </c>
      <c r="D78" s="482" t="s">
        <v>308</v>
      </c>
      <c r="E78" s="494"/>
      <c r="F78" s="484"/>
      <c r="G78" s="484"/>
      <c r="H78" s="484"/>
      <c r="I78" s="484"/>
      <c r="J78" s="484"/>
      <c r="K78" s="484">
        <v>4953</v>
      </c>
      <c r="L78" s="484"/>
      <c r="M78" s="484"/>
      <c r="N78" s="484"/>
      <c r="O78" s="484"/>
      <c r="P78" s="484"/>
      <c r="Q78" s="485"/>
      <c r="R78" s="486">
        <f t="shared" si="4"/>
        <v>4953</v>
      </c>
      <c r="S78" s="487"/>
      <c r="T78" s="488"/>
      <c r="U78" s="489"/>
      <c r="V78" s="490">
        <f t="shared" si="3"/>
        <v>4953</v>
      </c>
      <c r="W78" s="735"/>
    </row>
    <row r="79" spans="1:23" ht="36" x14ac:dyDescent="0.35">
      <c r="A79" s="491"/>
      <c r="B79" s="500"/>
      <c r="C79" s="493" t="s">
        <v>349</v>
      </c>
      <c r="D79" s="498" t="s">
        <v>269</v>
      </c>
      <c r="E79" s="494">
        <v>3</v>
      </c>
      <c r="F79" s="484">
        <v>4133</v>
      </c>
      <c r="G79" s="484">
        <v>826</v>
      </c>
      <c r="H79" s="484">
        <v>5200</v>
      </c>
      <c r="I79" s="484"/>
      <c r="J79" s="484"/>
      <c r="K79" s="484"/>
      <c r="L79" s="484"/>
      <c r="M79" s="484"/>
      <c r="N79" s="484"/>
      <c r="O79" s="484"/>
      <c r="P79" s="484"/>
      <c r="Q79" s="485"/>
      <c r="R79" s="486">
        <f t="shared" si="4"/>
        <v>10159</v>
      </c>
      <c r="S79" s="487"/>
      <c r="T79" s="488"/>
      <c r="U79" s="489"/>
      <c r="V79" s="490">
        <f t="shared" si="3"/>
        <v>10159</v>
      </c>
      <c r="W79" s="735"/>
    </row>
    <row r="80" spans="1:23" ht="36" x14ac:dyDescent="0.35">
      <c r="A80" s="513"/>
      <c r="B80" s="514"/>
      <c r="C80" s="521" t="s">
        <v>565</v>
      </c>
      <c r="D80" s="498" t="s">
        <v>269</v>
      </c>
      <c r="E80" s="522"/>
      <c r="F80" s="484"/>
      <c r="G80" s="484"/>
      <c r="H80" s="484">
        <v>35000</v>
      </c>
      <c r="I80" s="484"/>
      <c r="J80" s="484"/>
      <c r="K80" s="484"/>
      <c r="L80" s="484">
        <v>90073</v>
      </c>
      <c r="M80" s="484">
        <v>28100</v>
      </c>
      <c r="N80" s="484"/>
      <c r="O80" s="484"/>
      <c r="P80" s="484"/>
      <c r="Q80" s="485"/>
      <c r="R80" s="486">
        <f t="shared" si="4"/>
        <v>153173</v>
      </c>
      <c r="S80" s="515"/>
      <c r="T80" s="516"/>
      <c r="U80" s="517"/>
      <c r="V80" s="490">
        <f t="shared" si="3"/>
        <v>153173</v>
      </c>
      <c r="W80" s="735"/>
    </row>
    <row r="81" spans="1:23" x14ac:dyDescent="0.35">
      <c r="A81" s="491"/>
      <c r="B81" s="500"/>
      <c r="C81" s="493" t="s">
        <v>386</v>
      </c>
      <c r="D81" s="482" t="s">
        <v>308</v>
      </c>
      <c r="E81" s="494"/>
      <c r="F81" s="484"/>
      <c r="G81" s="484"/>
      <c r="H81" s="484"/>
      <c r="I81" s="484"/>
      <c r="J81" s="484"/>
      <c r="K81" s="484">
        <v>8000</v>
      </c>
      <c r="L81" s="484"/>
      <c r="M81" s="484"/>
      <c r="N81" s="484"/>
      <c r="O81" s="484"/>
      <c r="P81" s="484"/>
      <c r="Q81" s="485"/>
      <c r="R81" s="486">
        <f t="shared" si="4"/>
        <v>8000</v>
      </c>
      <c r="S81" s="487"/>
      <c r="T81" s="488"/>
      <c r="U81" s="489"/>
      <c r="V81" s="490">
        <f t="shared" si="3"/>
        <v>8000</v>
      </c>
      <c r="W81" s="735"/>
    </row>
    <row r="82" spans="1:23" x14ac:dyDescent="0.35">
      <c r="A82" s="518"/>
      <c r="B82" s="500"/>
      <c r="C82" s="493" t="s">
        <v>385</v>
      </c>
      <c r="D82" s="482" t="s">
        <v>308</v>
      </c>
      <c r="E82" s="494"/>
      <c r="F82" s="484">
        <v>1250</v>
      </c>
      <c r="G82" s="484">
        <v>244</v>
      </c>
      <c r="H82" s="484">
        <v>700</v>
      </c>
      <c r="I82" s="484"/>
      <c r="J82" s="484"/>
      <c r="K82" s="484"/>
      <c r="L82" s="484"/>
      <c r="M82" s="484"/>
      <c r="N82" s="484"/>
      <c r="O82" s="484"/>
      <c r="P82" s="484"/>
      <c r="Q82" s="485"/>
      <c r="R82" s="486">
        <f t="shared" si="4"/>
        <v>2194</v>
      </c>
      <c r="S82" s="487"/>
      <c r="T82" s="488"/>
      <c r="U82" s="489"/>
      <c r="V82" s="490">
        <f t="shared" si="3"/>
        <v>2194</v>
      </c>
      <c r="W82" s="735"/>
    </row>
    <row r="83" spans="1:23" x14ac:dyDescent="0.35">
      <c r="A83" s="491"/>
      <c r="B83" s="500"/>
      <c r="C83" s="493" t="s">
        <v>296</v>
      </c>
      <c r="D83" s="498" t="s">
        <v>269</v>
      </c>
      <c r="E83" s="494"/>
      <c r="F83" s="484"/>
      <c r="G83" s="484"/>
      <c r="H83" s="484">
        <f>184000-700</f>
        <v>183300</v>
      </c>
      <c r="I83" s="484"/>
      <c r="J83" s="484"/>
      <c r="K83" s="484"/>
      <c r="L83" s="484">
        <v>5000</v>
      </c>
      <c r="M83" s="484"/>
      <c r="N83" s="484"/>
      <c r="O83" s="484"/>
      <c r="P83" s="484"/>
      <c r="Q83" s="485"/>
      <c r="R83" s="486">
        <f t="shared" si="4"/>
        <v>188300</v>
      </c>
      <c r="S83" s="487"/>
      <c r="T83" s="488"/>
      <c r="U83" s="489"/>
      <c r="V83" s="490">
        <f t="shared" si="3"/>
        <v>188300</v>
      </c>
      <c r="W83" s="735"/>
    </row>
    <row r="84" spans="1:23" x14ac:dyDescent="0.35">
      <c r="A84" s="491"/>
      <c r="B84" s="500"/>
      <c r="C84" s="493" t="s">
        <v>657</v>
      </c>
      <c r="D84" s="482" t="s">
        <v>308</v>
      </c>
      <c r="E84" s="494"/>
      <c r="F84" s="484"/>
      <c r="G84" s="484"/>
      <c r="H84" s="484"/>
      <c r="I84" s="484"/>
      <c r="J84" s="484"/>
      <c r="K84" s="484">
        <v>150</v>
      </c>
      <c r="L84" s="484"/>
      <c r="M84" s="484"/>
      <c r="N84" s="484"/>
      <c r="O84" s="484"/>
      <c r="P84" s="484"/>
      <c r="Q84" s="485"/>
      <c r="R84" s="486">
        <f t="shared" si="4"/>
        <v>150</v>
      </c>
      <c r="S84" s="487"/>
      <c r="T84" s="488"/>
      <c r="U84" s="489"/>
      <c r="V84" s="490">
        <f t="shared" si="3"/>
        <v>150</v>
      </c>
      <c r="W84" s="735"/>
    </row>
    <row r="85" spans="1:23" ht="16.5" customHeight="1" x14ac:dyDescent="0.35">
      <c r="A85" s="491"/>
      <c r="B85" s="495"/>
      <c r="C85" s="497" t="s">
        <v>362</v>
      </c>
      <c r="D85" s="498" t="s">
        <v>269</v>
      </c>
      <c r="E85" s="494"/>
      <c r="F85" s="484"/>
      <c r="G85" s="484"/>
      <c r="H85" s="484"/>
      <c r="I85" s="484"/>
      <c r="J85" s="484">
        <v>1200</v>
      </c>
      <c r="K85" s="484"/>
      <c r="L85" s="484"/>
      <c r="M85" s="484"/>
      <c r="N85" s="484"/>
      <c r="O85" s="484"/>
      <c r="P85" s="484"/>
      <c r="Q85" s="485"/>
      <c r="R85" s="486">
        <f t="shared" si="4"/>
        <v>1200</v>
      </c>
      <c r="S85" s="487"/>
      <c r="T85" s="488"/>
      <c r="U85" s="489"/>
      <c r="V85" s="490">
        <f t="shared" si="3"/>
        <v>1200</v>
      </c>
      <c r="W85" s="735"/>
    </row>
    <row r="86" spans="1:23" ht="36" x14ac:dyDescent="0.35">
      <c r="A86" s="491"/>
      <c r="B86" s="495"/>
      <c r="C86" s="497" t="s">
        <v>363</v>
      </c>
      <c r="D86" s="498" t="s">
        <v>269</v>
      </c>
      <c r="E86" s="494"/>
      <c r="F86" s="484"/>
      <c r="G86" s="484"/>
      <c r="H86" s="484"/>
      <c r="I86" s="484"/>
      <c r="J86" s="484">
        <v>13233</v>
      </c>
      <c r="K86" s="484"/>
      <c r="L86" s="484"/>
      <c r="M86" s="484"/>
      <c r="N86" s="484"/>
      <c r="O86" s="484"/>
      <c r="P86" s="484"/>
      <c r="Q86" s="485"/>
      <c r="R86" s="486">
        <f t="shared" si="4"/>
        <v>13233</v>
      </c>
      <c r="S86" s="487"/>
      <c r="T86" s="488"/>
      <c r="U86" s="489"/>
      <c r="V86" s="490">
        <f t="shared" si="3"/>
        <v>13233</v>
      </c>
      <c r="W86" s="735"/>
    </row>
    <row r="87" spans="1:23" ht="21.75" customHeight="1" x14ac:dyDescent="0.35">
      <c r="A87" s="491"/>
      <c r="B87" s="495"/>
      <c r="C87" s="497" t="s">
        <v>364</v>
      </c>
      <c r="D87" s="498" t="s">
        <v>269</v>
      </c>
      <c r="E87" s="494"/>
      <c r="F87" s="484"/>
      <c r="G87" s="484"/>
      <c r="H87" s="484"/>
      <c r="I87" s="484"/>
      <c r="J87" s="484">
        <v>2400</v>
      </c>
      <c r="K87" s="484"/>
      <c r="L87" s="484"/>
      <c r="M87" s="484"/>
      <c r="N87" s="484"/>
      <c r="O87" s="484"/>
      <c r="P87" s="484"/>
      <c r="Q87" s="485"/>
      <c r="R87" s="486">
        <f t="shared" si="4"/>
        <v>2400</v>
      </c>
      <c r="S87" s="487"/>
      <c r="T87" s="488"/>
      <c r="U87" s="489"/>
      <c r="V87" s="490">
        <f t="shared" si="3"/>
        <v>2400</v>
      </c>
      <c r="W87" s="735"/>
    </row>
    <row r="88" spans="1:23" x14ac:dyDescent="0.35">
      <c r="A88" s="491"/>
      <c r="B88" s="495"/>
      <c r="C88" s="497" t="s">
        <v>367</v>
      </c>
      <c r="D88" s="498" t="s">
        <v>269</v>
      </c>
      <c r="E88" s="494"/>
      <c r="F88" s="484"/>
      <c r="G88" s="484"/>
      <c r="H88" s="484"/>
      <c r="I88" s="484"/>
      <c r="J88" s="484">
        <v>576</v>
      </c>
      <c r="K88" s="484"/>
      <c r="L88" s="484"/>
      <c r="M88" s="484"/>
      <c r="N88" s="484"/>
      <c r="O88" s="484"/>
      <c r="P88" s="484"/>
      <c r="Q88" s="485"/>
      <c r="R88" s="486">
        <f t="shared" si="4"/>
        <v>576</v>
      </c>
      <c r="S88" s="487"/>
      <c r="T88" s="488"/>
      <c r="U88" s="489"/>
      <c r="V88" s="490">
        <f t="shared" si="3"/>
        <v>576</v>
      </c>
      <c r="W88" s="735"/>
    </row>
    <row r="89" spans="1:23" x14ac:dyDescent="0.35">
      <c r="A89" s="491"/>
      <c r="B89" s="495"/>
      <c r="C89" s="497" t="s">
        <v>365</v>
      </c>
      <c r="D89" s="498" t="s">
        <v>269</v>
      </c>
      <c r="E89" s="494"/>
      <c r="F89" s="484"/>
      <c r="G89" s="484"/>
      <c r="H89" s="484"/>
      <c r="I89" s="484"/>
      <c r="J89" s="484">
        <v>4957</v>
      </c>
      <c r="K89" s="484"/>
      <c r="L89" s="484"/>
      <c r="M89" s="484"/>
      <c r="N89" s="484"/>
      <c r="O89" s="484"/>
      <c r="P89" s="484"/>
      <c r="Q89" s="485"/>
      <c r="R89" s="486">
        <f t="shared" si="4"/>
        <v>4957</v>
      </c>
      <c r="S89" s="487"/>
      <c r="T89" s="488"/>
      <c r="U89" s="489"/>
      <c r="V89" s="490">
        <f t="shared" si="3"/>
        <v>4957</v>
      </c>
      <c r="W89" s="735"/>
    </row>
    <row r="90" spans="1:23" ht="36" x14ac:dyDescent="0.35">
      <c r="A90" s="491"/>
      <c r="B90" s="495"/>
      <c r="C90" s="497" t="s">
        <v>361</v>
      </c>
      <c r="D90" s="498" t="s">
        <v>269</v>
      </c>
      <c r="E90" s="494"/>
      <c r="F90" s="484"/>
      <c r="G90" s="484"/>
      <c r="H90" s="484"/>
      <c r="I90" s="484"/>
      <c r="J90" s="484">
        <v>108644</v>
      </c>
      <c r="K90" s="484"/>
      <c r="L90" s="484"/>
      <c r="M90" s="484"/>
      <c r="N90" s="484"/>
      <c r="O90" s="484"/>
      <c r="P90" s="484"/>
      <c r="Q90" s="485"/>
      <c r="R90" s="486">
        <f t="shared" si="4"/>
        <v>108644</v>
      </c>
      <c r="S90" s="487"/>
      <c r="T90" s="488"/>
      <c r="U90" s="489"/>
      <c r="V90" s="490">
        <f t="shared" si="3"/>
        <v>108644</v>
      </c>
      <c r="W90" s="735"/>
    </row>
    <row r="91" spans="1:23" ht="36" x14ac:dyDescent="0.35">
      <c r="A91" s="491"/>
      <c r="B91" s="495"/>
      <c r="C91" s="497" t="s">
        <v>360</v>
      </c>
      <c r="D91" s="498" t="s">
        <v>269</v>
      </c>
      <c r="E91" s="494"/>
      <c r="F91" s="484"/>
      <c r="G91" s="484"/>
      <c r="H91" s="484"/>
      <c r="I91" s="484"/>
      <c r="J91" s="484">
        <v>122357</v>
      </c>
      <c r="K91" s="484"/>
      <c r="L91" s="484"/>
      <c r="M91" s="484"/>
      <c r="N91" s="484"/>
      <c r="O91" s="484"/>
      <c r="P91" s="484"/>
      <c r="Q91" s="485"/>
      <c r="R91" s="486">
        <f t="shared" si="4"/>
        <v>122357</v>
      </c>
      <c r="S91" s="487"/>
      <c r="T91" s="488"/>
      <c r="U91" s="489"/>
      <c r="V91" s="490">
        <f t="shared" si="3"/>
        <v>122357</v>
      </c>
      <c r="W91" s="735"/>
    </row>
    <row r="92" spans="1:23" hidden="1" x14ac:dyDescent="0.35">
      <c r="A92" s="491"/>
      <c r="B92" s="500"/>
      <c r="C92" s="493"/>
      <c r="D92" s="482"/>
      <c r="E92" s="49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5"/>
      <c r="R92" s="486">
        <f t="shared" si="4"/>
        <v>0</v>
      </c>
      <c r="S92" s="487"/>
      <c r="T92" s="488"/>
      <c r="U92" s="489"/>
      <c r="V92" s="490">
        <f t="shared" si="3"/>
        <v>0</v>
      </c>
      <c r="W92" s="735"/>
    </row>
    <row r="93" spans="1:23" x14ac:dyDescent="0.35">
      <c r="A93" s="491"/>
      <c r="B93" s="495"/>
      <c r="C93" s="497" t="s">
        <v>366</v>
      </c>
      <c r="D93" s="498" t="s">
        <v>269</v>
      </c>
      <c r="E93" s="494"/>
      <c r="F93" s="484"/>
      <c r="G93" s="484"/>
      <c r="H93" s="484"/>
      <c r="I93" s="484"/>
      <c r="J93" s="484">
        <v>1415</v>
      </c>
      <c r="K93" s="484"/>
      <c r="L93" s="484"/>
      <c r="M93" s="484"/>
      <c r="N93" s="484"/>
      <c r="O93" s="484"/>
      <c r="P93" s="484"/>
      <c r="Q93" s="485"/>
      <c r="R93" s="486">
        <f t="shared" si="4"/>
        <v>1415</v>
      </c>
      <c r="S93" s="487"/>
      <c r="T93" s="488"/>
      <c r="U93" s="489"/>
      <c r="V93" s="490">
        <f t="shared" si="3"/>
        <v>1415</v>
      </c>
      <c r="W93" s="735"/>
    </row>
    <row r="94" spans="1:23" x14ac:dyDescent="0.35">
      <c r="A94" s="523" t="s">
        <v>341</v>
      </c>
      <c r="B94" s="632"/>
      <c r="C94" s="633" t="s">
        <v>342</v>
      </c>
      <c r="D94" s="720" t="s">
        <v>269</v>
      </c>
      <c r="E94" s="524"/>
      <c r="F94" s="525"/>
      <c r="G94" s="525"/>
      <c r="H94" s="525">
        <v>98550</v>
      </c>
      <c r="I94" s="525"/>
      <c r="J94" s="525"/>
      <c r="K94" s="525"/>
      <c r="L94" s="525"/>
      <c r="M94" s="525"/>
      <c r="N94" s="525"/>
      <c r="O94" s="525"/>
      <c r="P94" s="525"/>
      <c r="Q94" s="526"/>
      <c r="R94" s="486">
        <f t="shared" si="4"/>
        <v>98550</v>
      </c>
      <c r="S94" s="527"/>
      <c r="T94" s="528"/>
      <c r="U94" s="634"/>
      <c r="V94" s="490">
        <f t="shared" si="3"/>
        <v>98550</v>
      </c>
      <c r="W94" s="735"/>
    </row>
    <row r="95" spans="1:23" ht="36" x14ac:dyDescent="0.35">
      <c r="A95" s="491"/>
      <c r="B95" s="495"/>
      <c r="C95" s="497" t="s">
        <v>660</v>
      </c>
      <c r="D95" s="482" t="s">
        <v>308</v>
      </c>
      <c r="E95" s="494"/>
      <c r="F95" s="484">
        <f>871/1.195</f>
        <v>728.87029288702922</v>
      </c>
      <c r="G95" s="484">
        <f>871-F95</f>
        <v>142.12970711297078</v>
      </c>
      <c r="H95" s="484">
        <v>5507</v>
      </c>
      <c r="I95" s="484"/>
      <c r="J95" s="484"/>
      <c r="K95" s="484"/>
      <c r="L95" s="484">
        <v>57479</v>
      </c>
      <c r="M95" s="484"/>
      <c r="N95" s="484"/>
      <c r="O95" s="484"/>
      <c r="P95" s="484"/>
      <c r="Q95" s="485"/>
      <c r="R95" s="486">
        <f t="shared" si="4"/>
        <v>63857</v>
      </c>
      <c r="S95" s="487"/>
      <c r="T95" s="488"/>
      <c r="U95" s="489"/>
      <c r="V95" s="490">
        <f t="shared" si="3"/>
        <v>63857</v>
      </c>
      <c r="W95" s="735"/>
    </row>
    <row r="96" spans="1:23" x14ac:dyDescent="0.35">
      <c r="A96" s="491"/>
      <c r="B96" s="499"/>
      <c r="C96" s="497" t="s">
        <v>628</v>
      </c>
      <c r="D96" s="498" t="s">
        <v>308</v>
      </c>
      <c r="E96" s="494"/>
      <c r="F96" s="484">
        <f>16313/1.195</f>
        <v>13651.046025104602</v>
      </c>
      <c r="G96" s="484">
        <f>16313-F96</f>
        <v>2661.9539748953976</v>
      </c>
      <c r="H96" s="484">
        <v>58924</v>
      </c>
      <c r="I96" s="484"/>
      <c r="J96" s="484"/>
      <c r="K96" s="484"/>
      <c r="L96" s="484">
        <v>882070</v>
      </c>
      <c r="M96" s="484"/>
      <c r="N96" s="484"/>
      <c r="O96" s="484"/>
      <c r="P96" s="484"/>
      <c r="Q96" s="485"/>
      <c r="R96" s="486">
        <f t="shared" si="4"/>
        <v>957307</v>
      </c>
      <c r="S96" s="487"/>
      <c r="T96" s="488"/>
      <c r="U96" s="489"/>
      <c r="V96" s="490">
        <f t="shared" si="3"/>
        <v>957307</v>
      </c>
      <c r="W96" s="735"/>
    </row>
    <row r="97" spans="1:23" x14ac:dyDescent="0.35">
      <c r="A97" s="722"/>
      <c r="B97" s="723"/>
      <c r="C97" s="497" t="s">
        <v>661</v>
      </c>
      <c r="D97" s="724" t="s">
        <v>308</v>
      </c>
      <c r="E97" s="725"/>
      <c r="F97" s="726">
        <f>6250/1.195</f>
        <v>5230.1255230125516</v>
      </c>
      <c r="G97" s="726">
        <f>6250-F97</f>
        <v>1019.8744769874484</v>
      </c>
      <c r="H97" s="726">
        <v>16295</v>
      </c>
      <c r="I97" s="726"/>
      <c r="J97" s="726"/>
      <c r="K97" s="726"/>
      <c r="L97" s="726">
        <v>215584</v>
      </c>
      <c r="M97" s="726"/>
      <c r="N97" s="726"/>
      <c r="O97" s="726"/>
      <c r="P97" s="726"/>
      <c r="Q97" s="727"/>
      <c r="R97" s="486">
        <f t="shared" si="4"/>
        <v>238129</v>
      </c>
      <c r="S97" s="728"/>
      <c r="T97" s="729"/>
      <c r="U97" s="730"/>
      <c r="V97" s="490">
        <f t="shared" si="3"/>
        <v>238129</v>
      </c>
      <c r="W97" s="735"/>
    </row>
    <row r="98" spans="1:23" ht="36" x14ac:dyDescent="0.35">
      <c r="A98" s="722"/>
      <c r="B98" s="723"/>
      <c r="C98" s="497" t="s">
        <v>662</v>
      </c>
      <c r="D98" s="724" t="s">
        <v>308</v>
      </c>
      <c r="E98" s="725"/>
      <c r="F98" s="726"/>
      <c r="G98" s="726"/>
      <c r="H98" s="726">
        <v>102</v>
      </c>
      <c r="I98" s="726"/>
      <c r="J98" s="726"/>
      <c r="K98" s="726"/>
      <c r="L98" s="726"/>
      <c r="M98" s="726"/>
      <c r="N98" s="726"/>
      <c r="O98" s="726"/>
      <c r="P98" s="726"/>
      <c r="Q98" s="727"/>
      <c r="R98" s="486">
        <f t="shared" si="4"/>
        <v>102</v>
      </c>
      <c r="S98" s="728"/>
      <c r="T98" s="729"/>
      <c r="U98" s="730"/>
      <c r="V98" s="490">
        <f t="shared" si="3"/>
        <v>102</v>
      </c>
      <c r="W98" s="735"/>
    </row>
    <row r="99" spans="1:23" ht="36" x14ac:dyDescent="0.35">
      <c r="A99" s="722"/>
      <c r="B99" s="723"/>
      <c r="C99" s="497" t="s">
        <v>710</v>
      </c>
      <c r="D99" s="724" t="s">
        <v>308</v>
      </c>
      <c r="E99" s="725"/>
      <c r="F99" s="726"/>
      <c r="G99" s="726"/>
      <c r="H99" s="726">
        <v>1658</v>
      </c>
      <c r="I99" s="726"/>
      <c r="J99" s="726"/>
      <c r="K99" s="726"/>
      <c r="L99" s="726"/>
      <c r="M99" s="726"/>
      <c r="N99" s="726"/>
      <c r="O99" s="726"/>
      <c r="P99" s="726"/>
      <c r="Q99" s="727"/>
      <c r="R99" s="486">
        <f t="shared" si="4"/>
        <v>1658</v>
      </c>
      <c r="S99" s="728"/>
      <c r="T99" s="729"/>
      <c r="U99" s="730"/>
      <c r="V99" s="490">
        <f t="shared" si="3"/>
        <v>1658</v>
      </c>
      <c r="W99" s="735"/>
    </row>
    <row r="100" spans="1:23" x14ac:dyDescent="0.35">
      <c r="A100" s="722"/>
      <c r="B100" s="723"/>
      <c r="C100" s="497" t="s">
        <v>704</v>
      </c>
      <c r="D100" s="724" t="s">
        <v>308</v>
      </c>
      <c r="E100" s="725"/>
      <c r="F100" s="726">
        <v>1200</v>
      </c>
      <c r="G100" s="726">
        <v>264</v>
      </c>
      <c r="H100" s="726">
        <v>3810</v>
      </c>
      <c r="I100" s="726"/>
      <c r="J100" s="726"/>
      <c r="K100" s="726"/>
      <c r="L100" s="726"/>
      <c r="M100" s="726"/>
      <c r="N100" s="726"/>
      <c r="O100" s="726"/>
      <c r="P100" s="726"/>
      <c r="Q100" s="727"/>
      <c r="R100" s="486">
        <f t="shared" si="4"/>
        <v>5274</v>
      </c>
      <c r="S100" s="728"/>
      <c r="T100" s="729"/>
      <c r="U100" s="730"/>
      <c r="V100" s="490">
        <f t="shared" si="3"/>
        <v>5274</v>
      </c>
      <c r="W100" s="735"/>
    </row>
    <row r="101" spans="1:23" x14ac:dyDescent="0.35">
      <c r="A101" s="722"/>
      <c r="B101" s="723"/>
      <c r="C101" s="497" t="s">
        <v>663</v>
      </c>
      <c r="D101" s="724" t="s">
        <v>308</v>
      </c>
      <c r="E101" s="725">
        <v>1</v>
      </c>
      <c r="F101" s="726">
        <f>23015/1.195</f>
        <v>19259.414225941422</v>
      </c>
      <c r="G101" s="726">
        <f>23015-F101</f>
        <v>3755.585774058578</v>
      </c>
      <c r="H101" s="726">
        <v>10000</v>
      </c>
      <c r="I101" s="726"/>
      <c r="J101" s="726"/>
      <c r="K101" s="726"/>
      <c r="L101" s="726"/>
      <c r="M101" s="726"/>
      <c r="N101" s="726"/>
      <c r="O101" s="726"/>
      <c r="P101" s="726"/>
      <c r="Q101" s="727">
        <f>54982-33015</f>
        <v>21967</v>
      </c>
      <c r="R101" s="486">
        <f t="shared" si="4"/>
        <v>54982</v>
      </c>
      <c r="S101" s="728"/>
      <c r="T101" s="729"/>
      <c r="U101" s="730"/>
      <c r="V101" s="490">
        <f t="shared" si="3"/>
        <v>54982</v>
      </c>
      <c r="W101" s="735"/>
    </row>
    <row r="102" spans="1:23" ht="36.75" thickBot="1" x14ac:dyDescent="0.4">
      <c r="A102" s="722"/>
      <c r="B102" s="723"/>
      <c r="C102" s="497" t="s">
        <v>664</v>
      </c>
      <c r="D102" s="724" t="s">
        <v>308</v>
      </c>
      <c r="E102" s="725"/>
      <c r="F102" s="726">
        <f>2498/1.195</f>
        <v>2090.3765690376567</v>
      </c>
      <c r="G102" s="726">
        <f>2498-F102</f>
        <v>407.62343096234326</v>
      </c>
      <c r="H102" s="726">
        <v>18291</v>
      </c>
      <c r="I102" s="726"/>
      <c r="J102" s="726"/>
      <c r="K102" s="726"/>
      <c r="L102" s="726"/>
      <c r="M102" s="726"/>
      <c r="N102" s="726"/>
      <c r="O102" s="726"/>
      <c r="P102" s="726"/>
      <c r="Q102" s="727">
        <f>39080-20789</f>
        <v>18291</v>
      </c>
      <c r="R102" s="486">
        <f t="shared" si="4"/>
        <v>39080</v>
      </c>
      <c r="S102" s="728"/>
      <c r="T102" s="729"/>
      <c r="U102" s="730"/>
      <c r="V102" s="490">
        <f t="shared" si="3"/>
        <v>39080</v>
      </c>
      <c r="W102" s="735"/>
    </row>
    <row r="103" spans="1:23" ht="27" hidden="1" customHeight="1" thickTop="1" x14ac:dyDescent="0.35">
      <c r="A103" s="751"/>
      <c r="B103" s="752"/>
      <c r="C103" s="721"/>
      <c r="D103" s="736"/>
      <c r="E103" s="737"/>
      <c r="F103" s="738"/>
      <c r="G103" s="738"/>
      <c r="H103" s="738"/>
      <c r="I103" s="738"/>
      <c r="J103" s="738"/>
      <c r="K103" s="738"/>
      <c r="L103" s="738"/>
      <c r="M103" s="738"/>
      <c r="N103" s="738"/>
      <c r="O103" s="738"/>
      <c r="P103" s="738"/>
      <c r="Q103" s="739">
        <v>0</v>
      </c>
      <c r="R103" s="740">
        <f>SUM(F103:Q103)</f>
        <v>0</v>
      </c>
      <c r="S103" s="741"/>
      <c r="T103" s="742"/>
      <c r="U103" s="739"/>
      <c r="V103" s="731">
        <f t="shared" si="3"/>
        <v>0</v>
      </c>
      <c r="W103" s="735"/>
    </row>
    <row r="104" spans="1:23" ht="23.45" customHeight="1" thickTop="1" thickBot="1" x14ac:dyDescent="0.4">
      <c r="A104" s="753"/>
      <c r="B104" s="754"/>
      <c r="C104" s="733" t="s">
        <v>658</v>
      </c>
      <c r="D104" s="743"/>
      <c r="E104" s="744"/>
      <c r="F104" s="745"/>
      <c r="G104" s="745"/>
      <c r="H104" s="745"/>
      <c r="I104" s="745"/>
      <c r="J104" s="745"/>
      <c r="K104" s="745"/>
      <c r="L104" s="745"/>
      <c r="M104" s="745"/>
      <c r="N104" s="745"/>
      <c r="O104" s="745"/>
      <c r="P104" s="745"/>
      <c r="Q104" s="746">
        <v>263303</v>
      </c>
      <c r="R104" s="747">
        <f>SUM(F104:Q104)</f>
        <v>263303</v>
      </c>
      <c r="S104" s="748"/>
      <c r="T104" s="749"/>
      <c r="U104" s="750"/>
      <c r="V104" s="732">
        <f t="shared" si="3"/>
        <v>263303</v>
      </c>
      <c r="W104" s="735"/>
    </row>
    <row r="105" spans="1:23" ht="19.5" thickTop="1" thickBot="1" x14ac:dyDescent="0.4">
      <c r="A105" s="529"/>
      <c r="B105" s="530"/>
      <c r="C105" s="531" t="s">
        <v>315</v>
      </c>
      <c r="D105" s="531"/>
      <c r="E105" s="532">
        <f>SUM(E10:E94)</f>
        <v>94</v>
      </c>
      <c r="F105" s="533">
        <f t="shared" ref="F105:Q105" si="5">SUM(F10:F104)</f>
        <v>231051.81589958156</v>
      </c>
      <c r="G105" s="533">
        <f t="shared" si="5"/>
        <v>44400.019100418416</v>
      </c>
      <c r="H105" s="533">
        <f t="shared" si="5"/>
        <v>994368</v>
      </c>
      <c r="I105" s="533">
        <f t="shared" si="5"/>
        <v>66500</v>
      </c>
      <c r="J105" s="533">
        <f t="shared" si="5"/>
        <v>256032</v>
      </c>
      <c r="K105" s="533">
        <f t="shared" si="5"/>
        <v>340707</v>
      </c>
      <c r="L105" s="533">
        <f t="shared" si="5"/>
        <v>2794536</v>
      </c>
      <c r="M105" s="533">
        <f t="shared" si="5"/>
        <v>2358247</v>
      </c>
      <c r="N105" s="533">
        <f t="shared" si="5"/>
        <v>0</v>
      </c>
      <c r="O105" s="533">
        <f t="shared" si="5"/>
        <v>0</v>
      </c>
      <c r="P105" s="533">
        <f t="shared" si="5"/>
        <v>0</v>
      </c>
      <c r="Q105" s="533">
        <f t="shared" si="5"/>
        <v>393065</v>
      </c>
      <c r="R105" s="534">
        <f>SUM(F105:Q105)</f>
        <v>7478906.835</v>
      </c>
      <c r="S105" s="533">
        <f>SUM(S10:S104)</f>
        <v>0</v>
      </c>
      <c r="T105" s="533">
        <f>SUM(T10:T104)</f>
        <v>0</v>
      </c>
      <c r="U105" s="533">
        <f>SUM(U10:U104)</f>
        <v>1075151</v>
      </c>
      <c r="V105" s="533">
        <f>SUM(V10:V104)</f>
        <v>8554057.8350000009</v>
      </c>
      <c r="W105" s="735"/>
    </row>
    <row r="106" spans="1:23" ht="18.75" thickTop="1" x14ac:dyDescent="0.35">
      <c r="V106" s="734"/>
    </row>
    <row r="107" spans="1:23" x14ac:dyDescent="0.35">
      <c r="G107" s="538"/>
      <c r="H107" s="538"/>
      <c r="V107" s="734"/>
    </row>
    <row r="108" spans="1:23" x14ac:dyDescent="0.35">
      <c r="H108" s="539"/>
    </row>
    <row r="109" spans="1:23" x14ac:dyDescent="0.35">
      <c r="H109" s="540"/>
      <c r="I109" s="540"/>
    </row>
    <row r="111" spans="1:23" x14ac:dyDescent="0.35">
      <c r="C111" s="613"/>
      <c r="D111" s="614"/>
      <c r="E111" s="615"/>
      <c r="F111" s="616"/>
      <c r="G111" s="616"/>
      <c r="H111" s="616"/>
      <c r="I111" s="616"/>
    </row>
    <row r="112" spans="1:23" x14ac:dyDescent="0.35">
      <c r="C112" s="617"/>
      <c r="D112" s="614"/>
      <c r="E112" s="615"/>
      <c r="F112" s="616"/>
      <c r="G112" s="616"/>
      <c r="H112" s="616"/>
      <c r="I112" s="616"/>
    </row>
    <row r="113" spans="3:10" x14ac:dyDescent="0.35">
      <c r="C113" s="613"/>
      <c r="D113" s="614"/>
      <c r="E113" s="615"/>
      <c r="F113" s="616"/>
      <c r="G113" s="616"/>
      <c r="H113" s="616"/>
      <c r="I113" s="616"/>
      <c r="J113" s="455"/>
    </row>
    <row r="114" spans="3:10" x14ac:dyDescent="0.35">
      <c r="C114" s="613"/>
      <c r="D114" s="614"/>
      <c r="E114" s="615"/>
      <c r="F114" s="616"/>
      <c r="G114" s="616"/>
      <c r="H114" s="616"/>
      <c r="I114" s="616"/>
      <c r="J114" s="455"/>
    </row>
    <row r="115" spans="3:10" x14ac:dyDescent="0.35">
      <c r="C115" s="613"/>
      <c r="D115" s="614"/>
      <c r="E115" s="615"/>
      <c r="F115" s="616"/>
      <c r="G115" s="616"/>
      <c r="H115" s="616"/>
      <c r="I115" s="616"/>
    </row>
    <row r="116" spans="3:10" x14ac:dyDescent="0.35">
      <c r="C116" s="613"/>
      <c r="D116" s="614"/>
      <c r="E116" s="615"/>
      <c r="F116" s="616"/>
      <c r="G116" s="616"/>
      <c r="H116" s="616"/>
      <c r="I116" s="616"/>
    </row>
    <row r="117" spans="3:10" x14ac:dyDescent="0.35">
      <c r="C117" s="614"/>
      <c r="D117" s="614"/>
      <c r="E117" s="618"/>
      <c r="F117" s="619"/>
      <c r="G117" s="619"/>
      <c r="H117" s="619"/>
      <c r="I117" s="619"/>
    </row>
    <row r="118" spans="3:10" x14ac:dyDescent="0.35">
      <c r="C118" s="613"/>
      <c r="D118" s="614"/>
      <c r="E118" s="615"/>
      <c r="F118" s="616"/>
      <c r="G118" s="616"/>
      <c r="H118" s="616"/>
      <c r="I118" s="616"/>
    </row>
    <row r="119" spans="3:10" x14ac:dyDescent="0.35">
      <c r="C119" s="613"/>
      <c r="D119" s="614"/>
      <c r="E119" s="615"/>
      <c r="F119" s="616"/>
      <c r="G119" s="616"/>
      <c r="H119" s="616"/>
      <c r="I119" s="616"/>
    </row>
    <row r="120" spans="3:10" x14ac:dyDescent="0.35">
      <c r="C120" s="614"/>
      <c r="D120" s="614"/>
      <c r="E120" s="615"/>
      <c r="F120" s="616"/>
      <c r="G120" s="616"/>
      <c r="H120" s="616"/>
      <c r="I120" s="616"/>
    </row>
    <row r="121" spans="3:10" ht="18" customHeight="1" x14ac:dyDescent="0.35">
      <c r="C121" s="613"/>
      <c r="D121" s="614"/>
      <c r="E121" s="615"/>
      <c r="F121" s="616"/>
      <c r="G121" s="616"/>
      <c r="H121" s="616"/>
      <c r="I121" s="616"/>
    </row>
    <row r="122" spans="3:10" x14ac:dyDescent="0.35">
      <c r="C122" s="613"/>
      <c r="D122" s="614"/>
      <c r="E122" s="615"/>
      <c r="F122" s="616"/>
      <c r="G122" s="616"/>
      <c r="H122" s="616"/>
      <c r="I122" s="616"/>
    </row>
    <row r="123" spans="3:10" x14ac:dyDescent="0.35">
      <c r="C123" s="613"/>
      <c r="D123" s="614"/>
      <c r="E123" s="615"/>
      <c r="F123" s="616"/>
      <c r="G123" s="616"/>
      <c r="H123" s="616"/>
      <c r="I123" s="616"/>
    </row>
    <row r="124" spans="3:10" x14ac:dyDescent="0.35">
      <c r="C124" s="613"/>
      <c r="D124" s="614"/>
      <c r="E124" s="615"/>
      <c r="F124" s="616"/>
      <c r="G124" s="616"/>
      <c r="H124" s="616"/>
      <c r="I124" s="616"/>
    </row>
    <row r="125" spans="3:10" x14ac:dyDescent="0.35">
      <c r="C125" s="614"/>
      <c r="D125" s="614"/>
      <c r="E125" s="618"/>
      <c r="F125" s="619"/>
      <c r="G125" s="616"/>
      <c r="H125" s="616"/>
      <c r="I125" s="616"/>
    </row>
    <row r="126" spans="3:10" x14ac:dyDescent="0.35">
      <c r="C126" s="613"/>
      <c r="D126" s="614"/>
      <c r="E126" s="615"/>
      <c r="F126" s="616"/>
      <c r="G126" s="616"/>
      <c r="H126" s="616"/>
      <c r="I126" s="616"/>
    </row>
    <row r="127" spans="3:10" x14ac:dyDescent="0.35">
      <c r="C127" s="617"/>
      <c r="D127" s="614"/>
      <c r="E127" s="615"/>
      <c r="F127" s="616"/>
      <c r="G127" s="616"/>
      <c r="H127" s="616"/>
      <c r="I127" s="616"/>
    </row>
    <row r="128" spans="3:10" x14ac:dyDescent="0.35">
      <c r="C128" s="613"/>
      <c r="D128" s="614"/>
      <c r="E128" s="615"/>
      <c r="F128" s="616"/>
      <c r="G128" s="616"/>
      <c r="H128" s="616"/>
      <c r="I128" s="616"/>
    </row>
    <row r="129" spans="3:9" x14ac:dyDescent="0.35">
      <c r="C129" s="613"/>
      <c r="D129" s="614"/>
      <c r="E129" s="615"/>
      <c r="F129" s="616"/>
      <c r="G129" s="616"/>
      <c r="H129" s="616"/>
      <c r="I129" s="616"/>
    </row>
    <row r="130" spans="3:9" x14ac:dyDescent="0.35">
      <c r="C130" s="613"/>
      <c r="D130" s="614"/>
      <c r="E130" s="615"/>
      <c r="F130" s="616"/>
      <c r="G130" s="616"/>
      <c r="H130" s="616"/>
      <c r="I130" s="616"/>
    </row>
    <row r="131" spans="3:9" x14ac:dyDescent="0.35">
      <c r="C131" s="614"/>
      <c r="D131" s="614"/>
      <c r="E131" s="618"/>
      <c r="F131" s="619"/>
      <c r="G131" s="616"/>
      <c r="H131" s="616"/>
      <c r="I131" s="616"/>
    </row>
  </sheetData>
  <sheetProtection selectLockedCells="1" selectUnlockedCells="1"/>
  <mergeCells count="29">
    <mergeCell ref="P7:P9"/>
    <mergeCell ref="Q7:Q9"/>
    <mergeCell ref="B2:C2"/>
    <mergeCell ref="B3:U3"/>
    <mergeCell ref="Q4:U4"/>
    <mergeCell ref="N5:O5"/>
    <mergeCell ref="S5:U5"/>
    <mergeCell ref="P6:Q6"/>
    <mergeCell ref="A6:A9"/>
    <mergeCell ref="B6:B9"/>
    <mergeCell ref="C6:C9"/>
    <mergeCell ref="D6:D9"/>
    <mergeCell ref="E6:E9"/>
    <mergeCell ref="V6:V9"/>
    <mergeCell ref="F7:F9"/>
    <mergeCell ref="G7:G9"/>
    <mergeCell ref="H7:H9"/>
    <mergeCell ref="I7:I9"/>
    <mergeCell ref="S7:S9"/>
    <mergeCell ref="T7:T9"/>
    <mergeCell ref="U7:U9"/>
    <mergeCell ref="J7:K8"/>
    <mergeCell ref="M7:M9"/>
    <mergeCell ref="F6:K6"/>
    <mergeCell ref="L6:O6"/>
    <mergeCell ref="L7:L9"/>
    <mergeCell ref="R6:R9"/>
    <mergeCell ref="S6:U6"/>
    <mergeCell ref="N7:O8"/>
  </mergeCells>
  <pageMargins left="0.2361111111111111" right="0.2361111111111111" top="0.74791666666666667" bottom="0.74791666666666667" header="0.51180555555555551" footer="0.51180555555555551"/>
  <pageSetup paperSize="9" scale="37" firstPageNumber="0" fitToHeight="0" orientation="landscape" r:id="rId1"/>
  <headerFooter alignWithMargins="0"/>
  <rowBreaks count="1" manualBreakCount="1">
    <brk id="105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view="pageBreakPreview" zoomScale="70" zoomScaleNormal="80" zoomScaleSheetLayoutView="70" workbookViewId="0">
      <selection activeCell="B1" sqref="B1:C1"/>
    </sheetView>
  </sheetViews>
  <sheetFormatPr defaultRowHeight="18" x14ac:dyDescent="0.35"/>
  <cols>
    <col min="1" max="1" width="4.5703125" style="9" customWidth="1"/>
    <col min="2" max="2" width="4.42578125" style="10" customWidth="1"/>
    <col min="3" max="3" width="57.42578125" style="11" customWidth="1"/>
    <col min="4" max="4" width="8.85546875" style="11" customWidth="1"/>
    <col min="5" max="12" width="16.5703125" style="23" customWidth="1"/>
    <col min="13" max="13" width="18.42578125" style="23" customWidth="1"/>
    <col min="14" max="18" width="16.5703125" style="23" customWidth="1"/>
  </cols>
  <sheetData>
    <row r="1" spans="1:19" s="7" customFormat="1" ht="14.25" x14ac:dyDescent="0.3">
      <c r="A1" s="12"/>
      <c r="B1" s="969" t="s">
        <v>714</v>
      </c>
      <c r="C1" s="969"/>
      <c r="D1" s="1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9" x14ac:dyDescent="0.25">
      <c r="A2" s="14"/>
      <c r="B2" s="970" t="s">
        <v>672</v>
      </c>
      <c r="C2" s="970"/>
      <c r="D2" s="970"/>
      <c r="E2" s="970"/>
      <c r="F2" s="970"/>
      <c r="G2" s="970"/>
      <c r="H2" s="970"/>
      <c r="I2" s="970"/>
      <c r="J2" s="970"/>
      <c r="K2" s="970"/>
      <c r="L2" s="970"/>
      <c r="M2" s="970"/>
      <c r="N2" s="970"/>
      <c r="O2" s="970"/>
      <c r="P2" s="970"/>
      <c r="Q2" s="970"/>
      <c r="R2" s="14"/>
    </row>
    <row r="3" spans="1:19" x14ac:dyDescent="0.35">
      <c r="C3" s="15"/>
      <c r="D3" s="15"/>
      <c r="L3" s="25"/>
      <c r="M3" s="971"/>
      <c r="N3" s="971"/>
      <c r="O3" s="971"/>
      <c r="P3" s="971"/>
      <c r="Q3" s="971"/>
      <c r="R3" s="9"/>
    </row>
    <row r="4" spans="1:19" s="38" customFormat="1" x14ac:dyDescent="0.35">
      <c r="A4" s="16" t="s">
        <v>259</v>
      </c>
      <c r="B4" s="17" t="s">
        <v>260</v>
      </c>
      <c r="C4" s="18" t="s">
        <v>261</v>
      </c>
      <c r="D4" s="37" t="s">
        <v>262</v>
      </c>
      <c r="E4" s="16" t="s">
        <v>263</v>
      </c>
      <c r="F4" s="19" t="s">
        <v>264</v>
      </c>
      <c r="G4" s="16" t="s">
        <v>265</v>
      </c>
      <c r="H4" s="16" t="s">
        <v>266</v>
      </c>
      <c r="I4" s="16" t="s">
        <v>267</v>
      </c>
      <c r="J4" s="16" t="s">
        <v>268</v>
      </c>
      <c r="K4" s="19" t="s">
        <v>269</v>
      </c>
      <c r="L4" s="16" t="s">
        <v>270</v>
      </c>
      <c r="M4" s="19" t="s">
        <v>271</v>
      </c>
      <c r="N4" s="19" t="s">
        <v>272</v>
      </c>
      <c r="O4" s="19" t="s">
        <v>273</v>
      </c>
      <c r="P4" s="19" t="s">
        <v>274</v>
      </c>
      <c r="Q4" s="16" t="s">
        <v>275</v>
      </c>
      <c r="R4" s="16" t="s">
        <v>276</v>
      </c>
    </row>
    <row r="5" spans="1:19" s="39" customFormat="1" ht="19.899999999999999" customHeight="1" x14ac:dyDescent="0.3">
      <c r="A5" s="961" t="s">
        <v>0</v>
      </c>
      <c r="B5" s="961" t="s">
        <v>1</v>
      </c>
      <c r="C5" s="962" t="s">
        <v>2</v>
      </c>
      <c r="D5" s="963" t="s">
        <v>277</v>
      </c>
      <c r="E5" s="964" t="s">
        <v>278</v>
      </c>
      <c r="F5" s="964"/>
      <c r="G5" s="964"/>
      <c r="H5" s="964"/>
      <c r="I5" s="964"/>
      <c r="J5" s="965" t="s">
        <v>320</v>
      </c>
      <c r="K5" s="965"/>
      <c r="L5" s="965"/>
      <c r="M5" s="966" t="s">
        <v>280</v>
      </c>
      <c r="N5" s="967" t="s">
        <v>281</v>
      </c>
      <c r="O5" s="967"/>
      <c r="P5" s="967"/>
      <c r="Q5" s="967"/>
      <c r="R5" s="968" t="s">
        <v>282</v>
      </c>
    </row>
    <row r="6" spans="1:19" s="39" customFormat="1" ht="71.25" customHeight="1" thickTop="1" thickBot="1" x14ac:dyDescent="0.3">
      <c r="A6" s="961"/>
      <c r="B6" s="961"/>
      <c r="C6" s="962"/>
      <c r="D6" s="963"/>
      <c r="E6" s="40" t="s">
        <v>283</v>
      </c>
      <c r="F6" s="41" t="s">
        <v>284</v>
      </c>
      <c r="G6" s="42" t="s">
        <v>285</v>
      </c>
      <c r="H6" s="41" t="s">
        <v>286</v>
      </c>
      <c r="I6" s="41" t="s">
        <v>287</v>
      </c>
      <c r="J6" s="41" t="s">
        <v>288</v>
      </c>
      <c r="K6" s="41" t="s">
        <v>289</v>
      </c>
      <c r="L6" s="43" t="s">
        <v>290</v>
      </c>
      <c r="M6" s="966"/>
      <c r="N6" s="26" t="s">
        <v>291</v>
      </c>
      <c r="O6" s="41" t="s">
        <v>292</v>
      </c>
      <c r="P6" s="41" t="s">
        <v>293</v>
      </c>
      <c r="Q6" s="43" t="s">
        <v>294</v>
      </c>
      <c r="R6" s="968"/>
    </row>
    <row r="7" spans="1:19" ht="18.75" thickTop="1" x14ac:dyDescent="0.35">
      <c r="A7" s="20">
        <v>1</v>
      </c>
      <c r="B7" s="20">
        <v>3</v>
      </c>
      <c r="C7" s="46" t="s">
        <v>8</v>
      </c>
      <c r="D7" s="47"/>
      <c r="E7" s="48"/>
      <c r="F7" s="48"/>
      <c r="G7" s="48"/>
      <c r="H7" s="49">
        <v>0</v>
      </c>
      <c r="I7" s="48"/>
      <c r="J7" s="48"/>
      <c r="K7" s="48"/>
      <c r="L7" s="50"/>
      <c r="M7" s="51">
        <f>SUM(E7:L7)</f>
        <v>0</v>
      </c>
      <c r="N7" s="52"/>
      <c r="O7" s="48"/>
      <c r="P7" s="48"/>
      <c r="Q7" s="53">
        <v>543257</v>
      </c>
      <c r="R7" s="54">
        <f>SUM(M7:Q7)</f>
        <v>543257</v>
      </c>
      <c r="S7" s="755">
        <f>SUM(R7:R9)</f>
        <v>552148</v>
      </c>
    </row>
    <row r="8" spans="1:19" ht="19.5" x14ac:dyDescent="0.4">
      <c r="A8" s="44"/>
      <c r="B8" s="45"/>
      <c r="C8" s="55" t="s">
        <v>396</v>
      </c>
      <c r="D8" s="47" t="s">
        <v>269</v>
      </c>
      <c r="E8" s="48"/>
      <c r="F8" s="48"/>
      <c r="G8" s="48"/>
      <c r="H8" s="358">
        <v>7000</v>
      </c>
      <c r="I8" s="48"/>
      <c r="J8" s="48"/>
      <c r="K8" s="48"/>
      <c r="L8" s="50"/>
      <c r="M8" s="51">
        <f t="shared" ref="M8:M31" si="0">SUM(E8:L8)</f>
        <v>7000</v>
      </c>
      <c r="N8" s="52"/>
      <c r="O8" s="48"/>
      <c r="P8" s="48"/>
      <c r="Q8" s="53"/>
      <c r="R8" s="54">
        <f t="shared" ref="R8:R31" si="1">SUM(M8:Q8)</f>
        <v>7000</v>
      </c>
    </row>
    <row r="9" spans="1:19" ht="19.5" x14ac:dyDescent="0.4">
      <c r="A9" s="44"/>
      <c r="B9" s="45"/>
      <c r="C9" s="55" t="s">
        <v>310</v>
      </c>
      <c r="D9" s="47" t="s">
        <v>269</v>
      </c>
      <c r="E9" s="48"/>
      <c r="F9" s="48"/>
      <c r="G9" s="48"/>
      <c r="H9" s="358">
        <v>1891</v>
      </c>
      <c r="I9" s="48"/>
      <c r="J9" s="48"/>
      <c r="K9" s="48"/>
      <c r="L9" s="50"/>
      <c r="M9" s="51">
        <f t="shared" si="0"/>
        <v>1891</v>
      </c>
      <c r="N9" s="52"/>
      <c r="O9" s="48"/>
      <c r="P9" s="48"/>
      <c r="Q9" s="53"/>
      <c r="R9" s="54">
        <f t="shared" si="1"/>
        <v>1891</v>
      </c>
    </row>
    <row r="10" spans="1:19" ht="19.5" x14ac:dyDescent="0.4">
      <c r="A10" s="44"/>
      <c r="B10" s="45"/>
      <c r="C10" s="56" t="s">
        <v>86</v>
      </c>
      <c r="D10" s="47" t="s">
        <v>269</v>
      </c>
      <c r="E10" s="48"/>
      <c r="F10" s="48"/>
      <c r="G10" s="48"/>
      <c r="H10" s="358"/>
      <c r="I10" s="48"/>
      <c r="J10" s="48"/>
      <c r="K10" s="48"/>
      <c r="L10" s="50"/>
      <c r="M10" s="51">
        <f t="shared" si="0"/>
        <v>0</v>
      </c>
      <c r="N10" s="52"/>
      <c r="O10" s="48"/>
      <c r="P10" s="48"/>
      <c r="Q10" s="53"/>
      <c r="R10" s="54">
        <f t="shared" si="1"/>
        <v>0</v>
      </c>
    </row>
    <row r="11" spans="1:19" ht="19.5" x14ac:dyDescent="0.4">
      <c r="A11" s="44"/>
      <c r="B11" s="45"/>
      <c r="C11" s="56" t="s">
        <v>90</v>
      </c>
      <c r="D11" s="47" t="s">
        <v>269</v>
      </c>
      <c r="E11" s="48"/>
      <c r="F11" s="48"/>
      <c r="G11" s="48"/>
      <c r="H11" s="358"/>
      <c r="I11" s="48"/>
      <c r="J11" s="48"/>
      <c r="K11" s="48"/>
      <c r="L11" s="50"/>
      <c r="M11" s="51">
        <f t="shared" si="0"/>
        <v>0</v>
      </c>
      <c r="N11" s="52"/>
      <c r="O11" s="48"/>
      <c r="P11" s="48"/>
      <c r="Q11" s="53"/>
      <c r="R11" s="54">
        <f t="shared" si="1"/>
        <v>0</v>
      </c>
    </row>
    <row r="12" spans="1:19" ht="9" customHeight="1" x14ac:dyDescent="0.4">
      <c r="A12" s="44"/>
      <c r="B12" s="45"/>
      <c r="C12" s="56"/>
      <c r="D12" s="47"/>
      <c r="E12" s="48"/>
      <c r="F12" s="48"/>
      <c r="G12" s="48"/>
      <c r="H12" s="358"/>
      <c r="I12" s="48"/>
      <c r="J12" s="48"/>
      <c r="K12" s="48"/>
      <c r="L12" s="50"/>
      <c r="M12" s="51"/>
      <c r="N12" s="52"/>
      <c r="O12" s="48"/>
      <c r="P12" s="48"/>
      <c r="Q12" s="53"/>
      <c r="R12" s="54"/>
    </row>
    <row r="13" spans="1:19" x14ac:dyDescent="0.35">
      <c r="A13" s="20">
        <v>1</v>
      </c>
      <c r="B13" s="20">
        <v>4</v>
      </c>
      <c r="C13" s="46" t="s">
        <v>10</v>
      </c>
      <c r="D13" s="47"/>
      <c r="E13" s="30"/>
      <c r="F13" s="30"/>
      <c r="G13" s="30"/>
      <c r="H13" s="359"/>
      <c r="I13" s="30"/>
      <c r="J13" s="30"/>
      <c r="K13" s="30"/>
      <c r="L13" s="31"/>
      <c r="M13" s="51">
        <f t="shared" si="0"/>
        <v>0</v>
      </c>
      <c r="N13" s="29"/>
      <c r="O13" s="30"/>
      <c r="P13" s="30"/>
      <c r="Q13" s="28">
        <v>100132</v>
      </c>
      <c r="R13" s="54">
        <f t="shared" si="1"/>
        <v>100132</v>
      </c>
      <c r="S13" s="755"/>
    </row>
    <row r="14" spans="1:19" ht="19.5" x14ac:dyDescent="0.4">
      <c r="A14" s="20"/>
      <c r="B14" s="20"/>
      <c r="C14" s="55" t="s">
        <v>396</v>
      </c>
      <c r="D14" s="47" t="s">
        <v>269</v>
      </c>
      <c r="E14" s="30"/>
      <c r="F14" s="30"/>
      <c r="G14" s="30"/>
      <c r="H14" s="359">
        <v>1842</v>
      </c>
      <c r="I14" s="30"/>
      <c r="J14" s="30"/>
      <c r="K14" s="30"/>
      <c r="L14" s="31"/>
      <c r="M14" s="51">
        <f t="shared" si="0"/>
        <v>1842</v>
      </c>
      <c r="N14" s="29"/>
      <c r="O14" s="30"/>
      <c r="P14" s="30"/>
      <c r="Q14" s="28"/>
      <c r="R14" s="54">
        <f t="shared" si="1"/>
        <v>1842</v>
      </c>
    </row>
    <row r="15" spans="1:19" ht="19.5" x14ac:dyDescent="0.4">
      <c r="A15" s="44"/>
      <c r="B15" s="45"/>
      <c r="C15" s="55" t="s">
        <v>310</v>
      </c>
      <c r="D15" s="47" t="s">
        <v>269</v>
      </c>
      <c r="E15" s="48"/>
      <c r="F15" s="48"/>
      <c r="G15" s="48"/>
      <c r="H15" s="358">
        <v>497</v>
      </c>
      <c r="I15" s="48"/>
      <c r="J15" s="48"/>
      <c r="K15" s="48"/>
      <c r="L15" s="50"/>
      <c r="M15" s="51">
        <f t="shared" si="0"/>
        <v>497</v>
      </c>
      <c r="N15" s="52"/>
      <c r="O15" s="48"/>
      <c r="P15" s="48"/>
      <c r="Q15" s="53"/>
      <c r="R15" s="54">
        <f t="shared" si="1"/>
        <v>497</v>
      </c>
    </row>
    <row r="16" spans="1:19" ht="19.5" x14ac:dyDescent="0.4">
      <c r="A16" s="20"/>
      <c r="B16" s="20"/>
      <c r="C16" s="56" t="s">
        <v>86</v>
      </c>
      <c r="D16" s="47" t="s">
        <v>269</v>
      </c>
      <c r="E16" s="30"/>
      <c r="F16" s="30"/>
      <c r="G16" s="30"/>
      <c r="H16" s="359"/>
      <c r="I16" s="30"/>
      <c r="J16" s="30"/>
      <c r="K16" s="30"/>
      <c r="L16" s="31"/>
      <c r="M16" s="51">
        <f t="shared" si="0"/>
        <v>0</v>
      </c>
      <c r="N16" s="29"/>
      <c r="O16" s="30"/>
      <c r="P16" s="30"/>
      <c r="Q16" s="28"/>
      <c r="R16" s="54">
        <f t="shared" si="1"/>
        <v>0</v>
      </c>
    </row>
    <row r="17" spans="1:18" ht="19.5" x14ac:dyDescent="0.4">
      <c r="A17" s="20"/>
      <c r="B17" s="20"/>
      <c r="C17" s="56" t="s">
        <v>90</v>
      </c>
      <c r="D17" s="47" t="s">
        <v>269</v>
      </c>
      <c r="E17" s="30"/>
      <c r="F17" s="30"/>
      <c r="G17" s="30"/>
      <c r="H17" s="359"/>
      <c r="I17" s="30"/>
      <c r="J17" s="30"/>
      <c r="K17" s="30"/>
      <c r="L17" s="31"/>
      <c r="M17" s="51">
        <f t="shared" si="0"/>
        <v>0</v>
      </c>
      <c r="N17" s="29"/>
      <c r="O17" s="30"/>
      <c r="P17" s="30"/>
      <c r="Q17" s="28"/>
      <c r="R17" s="54">
        <f t="shared" si="1"/>
        <v>0</v>
      </c>
    </row>
    <row r="18" spans="1:18" ht="9" customHeight="1" x14ac:dyDescent="0.4">
      <c r="A18" s="44"/>
      <c r="B18" s="45"/>
      <c r="C18" s="56"/>
      <c r="D18" s="47"/>
      <c r="E18" s="48"/>
      <c r="F18" s="48"/>
      <c r="G18" s="48"/>
      <c r="H18" s="358"/>
      <c r="I18" s="48"/>
      <c r="J18" s="48"/>
      <c r="K18" s="48"/>
      <c r="L18" s="50"/>
      <c r="M18" s="51">
        <f t="shared" si="0"/>
        <v>0</v>
      </c>
      <c r="N18" s="52"/>
      <c r="O18" s="48"/>
      <c r="P18" s="48"/>
      <c r="Q18" s="53"/>
      <c r="R18" s="54">
        <f t="shared" si="1"/>
        <v>0</v>
      </c>
    </row>
    <row r="19" spans="1:18" x14ac:dyDescent="0.35">
      <c r="A19" s="20">
        <v>1</v>
      </c>
      <c r="B19" s="20">
        <v>5</v>
      </c>
      <c r="C19" s="57" t="s">
        <v>397</v>
      </c>
      <c r="D19" s="58"/>
      <c r="E19" s="30"/>
      <c r="F19" s="30"/>
      <c r="G19" s="30"/>
      <c r="H19" s="359"/>
      <c r="I19" s="30"/>
      <c r="J19" s="30"/>
      <c r="K19" s="30"/>
      <c r="L19" s="31"/>
      <c r="M19" s="51">
        <f t="shared" si="0"/>
        <v>0</v>
      </c>
      <c r="N19" s="29"/>
      <c r="O19" s="30"/>
      <c r="P19" s="30"/>
      <c r="Q19" s="28">
        <v>68435</v>
      </c>
      <c r="R19" s="54">
        <f t="shared" si="1"/>
        <v>68435</v>
      </c>
    </row>
    <row r="20" spans="1:18" ht="19.5" x14ac:dyDescent="0.4">
      <c r="A20" s="20"/>
      <c r="B20" s="20"/>
      <c r="C20" s="55" t="s">
        <v>396</v>
      </c>
      <c r="D20" s="58" t="s">
        <v>308</v>
      </c>
      <c r="E20" s="30"/>
      <c r="F20" s="30"/>
      <c r="G20" s="30"/>
      <c r="H20" s="359">
        <v>38259</v>
      </c>
      <c r="I20" s="30"/>
      <c r="J20" s="30"/>
      <c r="K20" s="30"/>
      <c r="L20" s="31"/>
      <c r="M20" s="51">
        <f t="shared" si="0"/>
        <v>38259</v>
      </c>
      <c r="N20" s="29"/>
      <c r="O20" s="30"/>
      <c r="P20" s="30"/>
      <c r="Q20" s="28"/>
      <c r="R20" s="54">
        <f t="shared" si="1"/>
        <v>38259</v>
      </c>
    </row>
    <row r="21" spans="1:18" ht="19.5" x14ac:dyDescent="0.4">
      <c r="A21" s="20"/>
      <c r="B21" s="20"/>
      <c r="C21" s="56" t="s">
        <v>86</v>
      </c>
      <c r="D21" s="58" t="s">
        <v>308</v>
      </c>
      <c r="E21" s="30"/>
      <c r="F21" s="30"/>
      <c r="G21" s="30"/>
      <c r="H21" s="359"/>
      <c r="I21" s="30"/>
      <c r="J21" s="30"/>
      <c r="K21" s="30"/>
      <c r="L21" s="31"/>
      <c r="M21" s="51">
        <f t="shared" si="0"/>
        <v>0</v>
      </c>
      <c r="N21" s="29"/>
      <c r="O21" s="30"/>
      <c r="P21" s="30"/>
      <c r="Q21" s="28"/>
      <c r="R21" s="54">
        <f t="shared" si="1"/>
        <v>0</v>
      </c>
    </row>
    <row r="22" spans="1:18" ht="19.5" x14ac:dyDescent="0.4">
      <c r="A22" s="20"/>
      <c r="B22" s="20"/>
      <c r="C22" s="56" t="s">
        <v>90</v>
      </c>
      <c r="D22" s="58" t="s">
        <v>308</v>
      </c>
      <c r="E22" s="30"/>
      <c r="F22" s="30"/>
      <c r="G22" s="30"/>
      <c r="H22" s="359"/>
      <c r="I22" s="30"/>
      <c r="J22" s="30"/>
      <c r="K22" s="30"/>
      <c r="L22" s="31"/>
      <c r="M22" s="51">
        <f t="shared" si="0"/>
        <v>0</v>
      </c>
      <c r="N22" s="29"/>
      <c r="O22" s="30"/>
      <c r="P22" s="30"/>
      <c r="Q22" s="28"/>
      <c r="R22" s="54">
        <f t="shared" si="1"/>
        <v>0</v>
      </c>
    </row>
    <row r="23" spans="1:18" ht="9" customHeight="1" x14ac:dyDescent="0.4">
      <c r="A23" s="20"/>
      <c r="B23" s="20"/>
      <c r="C23" s="56"/>
      <c r="D23" s="58"/>
      <c r="E23" s="30"/>
      <c r="F23" s="30"/>
      <c r="G23" s="30"/>
      <c r="H23" s="359"/>
      <c r="I23" s="30"/>
      <c r="J23" s="30"/>
      <c r="K23" s="30"/>
      <c r="L23" s="31"/>
      <c r="M23" s="51"/>
      <c r="N23" s="29"/>
      <c r="O23" s="30"/>
      <c r="P23" s="30"/>
      <c r="Q23" s="28"/>
      <c r="R23" s="54"/>
    </row>
    <row r="24" spans="1:18" x14ac:dyDescent="0.35">
      <c r="A24" s="20">
        <v>1</v>
      </c>
      <c r="B24" s="20">
        <v>2</v>
      </c>
      <c r="C24" s="57" t="s">
        <v>6</v>
      </c>
      <c r="D24" s="58"/>
      <c r="E24" s="30"/>
      <c r="F24" s="30"/>
      <c r="G24" s="30"/>
      <c r="H24" s="359"/>
      <c r="I24" s="30"/>
      <c r="J24" s="30"/>
      <c r="K24" s="30"/>
      <c r="L24" s="31"/>
      <c r="M24" s="51">
        <f t="shared" si="0"/>
        <v>0</v>
      </c>
      <c r="N24" s="29"/>
      <c r="O24" s="30"/>
      <c r="P24" s="30"/>
      <c r="Q24" s="28">
        <v>363327</v>
      </c>
      <c r="R24" s="54">
        <f t="shared" si="1"/>
        <v>363327</v>
      </c>
    </row>
    <row r="25" spans="1:18" ht="19.5" x14ac:dyDescent="0.4">
      <c r="A25" s="20"/>
      <c r="B25" s="21"/>
      <c r="C25" s="55" t="s">
        <v>398</v>
      </c>
      <c r="D25" s="59" t="s">
        <v>387</v>
      </c>
      <c r="E25" s="30"/>
      <c r="F25" s="30"/>
      <c r="G25" s="30"/>
      <c r="H25" s="359"/>
      <c r="I25" s="30"/>
      <c r="J25" s="30"/>
      <c r="K25" s="30"/>
      <c r="L25" s="31"/>
      <c r="M25" s="51">
        <f t="shared" si="0"/>
        <v>0</v>
      </c>
      <c r="N25" s="29"/>
      <c r="O25" s="30"/>
      <c r="P25" s="30"/>
      <c r="Q25" s="28"/>
      <c r="R25" s="54">
        <f t="shared" si="1"/>
        <v>0</v>
      </c>
    </row>
    <row r="26" spans="1:18" ht="19.5" x14ac:dyDescent="0.4">
      <c r="A26" s="20"/>
      <c r="B26" s="21"/>
      <c r="C26" s="60" t="s">
        <v>673</v>
      </c>
      <c r="D26" s="59" t="s">
        <v>387</v>
      </c>
      <c r="E26" s="30"/>
      <c r="F26" s="30"/>
      <c r="G26" s="30"/>
      <c r="H26" s="359">
        <v>3304</v>
      </c>
      <c r="I26" s="30"/>
      <c r="J26" s="30"/>
      <c r="K26" s="30"/>
      <c r="L26" s="31"/>
      <c r="M26" s="51">
        <f t="shared" si="0"/>
        <v>3304</v>
      </c>
      <c r="N26" s="29"/>
      <c r="O26" s="30"/>
      <c r="P26" s="30"/>
      <c r="Q26" s="28"/>
      <c r="R26" s="54">
        <f t="shared" si="1"/>
        <v>3304</v>
      </c>
    </row>
    <row r="27" spans="1:18" ht="19.5" x14ac:dyDescent="0.4">
      <c r="A27" s="20"/>
      <c r="B27" s="21"/>
      <c r="C27" s="55" t="s">
        <v>310</v>
      </c>
      <c r="D27" s="59" t="s">
        <v>387</v>
      </c>
      <c r="E27" s="30"/>
      <c r="F27" s="30"/>
      <c r="G27" s="30"/>
      <c r="H27" s="359">
        <v>719</v>
      </c>
      <c r="I27" s="30"/>
      <c r="J27" s="30"/>
      <c r="K27" s="30"/>
      <c r="L27" s="31"/>
      <c r="M27" s="51">
        <f t="shared" si="0"/>
        <v>719</v>
      </c>
      <c r="N27" s="29"/>
      <c r="O27" s="30"/>
      <c r="P27" s="30"/>
      <c r="Q27" s="28"/>
      <c r="R27" s="54">
        <f t="shared" si="1"/>
        <v>719</v>
      </c>
    </row>
    <row r="28" spans="1:18" ht="39" x14ac:dyDescent="0.4">
      <c r="A28" s="20"/>
      <c r="B28" s="21"/>
      <c r="C28" s="55" t="s">
        <v>674</v>
      </c>
      <c r="D28" s="59" t="s">
        <v>308</v>
      </c>
      <c r="E28" s="30"/>
      <c r="F28" s="30">
        <f>55027</f>
        <v>55027</v>
      </c>
      <c r="G28" s="30"/>
      <c r="H28" s="359"/>
      <c r="I28" s="30"/>
      <c r="J28" s="30"/>
      <c r="K28" s="30"/>
      <c r="L28" s="31"/>
      <c r="M28" s="51">
        <f t="shared" si="0"/>
        <v>55027</v>
      </c>
      <c r="N28" s="29"/>
      <c r="O28" s="30"/>
      <c r="P28" s="30">
        <v>34000</v>
      </c>
      <c r="Q28" s="28"/>
      <c r="R28" s="54">
        <f t="shared" si="1"/>
        <v>89027</v>
      </c>
    </row>
    <row r="29" spans="1:18" ht="19.5" x14ac:dyDescent="0.4">
      <c r="A29" s="20"/>
      <c r="B29" s="21"/>
      <c r="C29" s="56" t="s">
        <v>90</v>
      </c>
      <c r="D29" s="59" t="s">
        <v>387</v>
      </c>
      <c r="E29" s="30"/>
      <c r="F29" s="30"/>
      <c r="G29" s="30"/>
      <c r="H29" s="359">
        <v>1000</v>
      </c>
      <c r="I29" s="30"/>
      <c r="J29" s="30"/>
      <c r="K29" s="30"/>
      <c r="L29" s="31"/>
      <c r="M29" s="51">
        <f t="shared" si="0"/>
        <v>1000</v>
      </c>
      <c r="N29" s="29"/>
      <c r="O29" s="30"/>
      <c r="P29" s="30"/>
      <c r="Q29" s="28"/>
      <c r="R29" s="54">
        <f t="shared" si="1"/>
        <v>1000</v>
      </c>
    </row>
    <row r="30" spans="1:18" ht="20.25" customHeight="1" thickBot="1" x14ac:dyDescent="0.45">
      <c r="A30" s="20"/>
      <c r="B30" s="20"/>
      <c r="C30" s="55" t="s">
        <v>399</v>
      </c>
      <c r="D30" s="58" t="s">
        <v>308</v>
      </c>
      <c r="E30" s="33"/>
      <c r="F30" s="33"/>
      <c r="G30" s="33"/>
      <c r="H30" s="27">
        <v>0</v>
      </c>
      <c r="I30" s="33"/>
      <c r="J30" s="33"/>
      <c r="K30" s="33"/>
      <c r="L30" s="34"/>
      <c r="M30" s="453">
        <f t="shared" si="0"/>
        <v>0</v>
      </c>
      <c r="N30" s="32"/>
      <c r="O30" s="33"/>
      <c r="P30" s="33"/>
      <c r="Q30" s="28"/>
      <c r="R30" s="454">
        <f t="shared" si="1"/>
        <v>0</v>
      </c>
    </row>
    <row r="31" spans="1:18" ht="19.5" thickTop="1" thickBot="1" x14ac:dyDescent="0.4">
      <c r="A31" s="61"/>
      <c r="B31" s="62"/>
      <c r="C31" s="22"/>
      <c r="D31" s="22"/>
      <c r="E31" s="35">
        <f t="shared" ref="E31:L31" si="2">SUM(E7:E30)</f>
        <v>0</v>
      </c>
      <c r="F31" s="35">
        <f t="shared" si="2"/>
        <v>55027</v>
      </c>
      <c r="G31" s="35">
        <f t="shared" si="2"/>
        <v>0</v>
      </c>
      <c r="H31" s="35">
        <f t="shared" si="2"/>
        <v>54512</v>
      </c>
      <c r="I31" s="35">
        <f t="shared" si="2"/>
        <v>0</v>
      </c>
      <c r="J31" s="35">
        <f t="shared" si="2"/>
        <v>0</v>
      </c>
      <c r="K31" s="35">
        <f t="shared" si="2"/>
        <v>0</v>
      </c>
      <c r="L31" s="35">
        <f t="shared" si="2"/>
        <v>0</v>
      </c>
      <c r="M31" s="35">
        <f t="shared" si="0"/>
        <v>109539</v>
      </c>
      <c r="N31" s="36"/>
      <c r="O31" s="35"/>
      <c r="P31" s="35">
        <f>SUM(P28:P30)</f>
        <v>34000</v>
      </c>
      <c r="Q31" s="759">
        <f>SUM(Q7:Q30)</f>
        <v>1075151</v>
      </c>
      <c r="R31" s="635">
        <f t="shared" si="1"/>
        <v>1218690</v>
      </c>
    </row>
    <row r="32" spans="1:18" ht="18.75" thickTop="1" x14ac:dyDescent="0.35">
      <c r="M32" s="760">
        <f>SUM(E31:L31)</f>
        <v>109539</v>
      </c>
      <c r="R32" s="760">
        <f>SUM(M32+P31+Q31)</f>
        <v>1218690</v>
      </c>
    </row>
    <row r="33" ht="15" customHeight="1" x14ac:dyDescent="0.35"/>
    <row r="34" ht="15" customHeight="1" x14ac:dyDescent="0.35"/>
    <row r="39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</sheetData>
  <sheetProtection selectLockedCells="1" selectUnlockedCells="1"/>
  <mergeCells count="12">
    <mergeCell ref="J5:L5"/>
    <mergeCell ref="M5:M6"/>
    <mergeCell ref="N5:Q5"/>
    <mergeCell ref="R5:R6"/>
    <mergeCell ref="B1:C1"/>
    <mergeCell ref="B2:Q2"/>
    <mergeCell ref="M3:Q3"/>
    <mergeCell ref="A5:A6"/>
    <mergeCell ref="B5:B6"/>
    <mergeCell ref="C5:C6"/>
    <mergeCell ref="D5:D6"/>
    <mergeCell ref="E5:I5"/>
  </mergeCells>
  <pageMargins left="0.25" right="0.25" top="0.75" bottom="0.75" header="0.51180555555555551" footer="0.51180555555555551"/>
  <pageSetup paperSize="9" scale="46" firstPageNumber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view="pageBreakPreview" zoomScaleSheetLayoutView="100" workbookViewId="0">
      <selection activeCell="B1" sqref="B1:C1"/>
    </sheetView>
  </sheetViews>
  <sheetFormatPr defaultRowHeight="18" x14ac:dyDescent="0.35"/>
  <cols>
    <col min="1" max="1" width="4.5703125" style="413" customWidth="1"/>
    <col min="2" max="2" width="4.42578125" style="414" customWidth="1"/>
    <col min="3" max="3" width="57.42578125" style="438" customWidth="1"/>
    <col min="4" max="5" width="7" style="438" customWidth="1"/>
    <col min="6" max="17" width="17.42578125" style="416" customWidth="1"/>
    <col min="18" max="18" width="19.42578125" style="416" customWidth="1"/>
    <col min="19" max="21" width="18.42578125" style="416" customWidth="1"/>
    <col min="22" max="22" width="17.42578125" style="416" customWidth="1"/>
    <col min="23" max="16384" width="9.140625" style="408"/>
  </cols>
  <sheetData>
    <row r="1" spans="1:22" s="409" customFormat="1" ht="14.25" x14ac:dyDescent="0.3">
      <c r="A1" s="410"/>
      <c r="B1" s="978" t="s">
        <v>715</v>
      </c>
      <c r="C1" s="978"/>
      <c r="D1" s="439"/>
      <c r="E1" s="439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</row>
    <row r="2" spans="1:22" x14ac:dyDescent="0.25">
      <c r="A2" s="412"/>
      <c r="B2" s="979" t="s">
        <v>675</v>
      </c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412"/>
    </row>
    <row r="3" spans="1:22" x14ac:dyDescent="0.35">
      <c r="C3" s="415"/>
      <c r="D3" s="440"/>
      <c r="E3" s="415"/>
      <c r="N3" s="417"/>
      <c r="O3" s="418"/>
      <c r="P3" s="418"/>
      <c r="Q3" s="980" t="s">
        <v>316</v>
      </c>
      <c r="R3" s="980"/>
      <c r="S3" s="980"/>
      <c r="T3" s="980"/>
      <c r="U3" s="980"/>
      <c r="V3" s="413"/>
    </row>
    <row r="4" spans="1:22" x14ac:dyDescent="0.35">
      <c r="A4" s="419" t="s">
        <v>259</v>
      </c>
      <c r="B4" s="420" t="s">
        <v>260</v>
      </c>
      <c r="C4" s="421" t="s">
        <v>261</v>
      </c>
      <c r="D4" s="441" t="s">
        <v>262</v>
      </c>
      <c r="E4" s="419" t="s">
        <v>263</v>
      </c>
      <c r="F4" s="419" t="s">
        <v>264</v>
      </c>
      <c r="G4" s="419" t="s">
        <v>265</v>
      </c>
      <c r="H4" s="422" t="s">
        <v>266</v>
      </c>
      <c r="I4" s="419" t="s">
        <v>267</v>
      </c>
      <c r="J4" s="419" t="s">
        <v>268</v>
      </c>
      <c r="K4" s="419" t="s">
        <v>269</v>
      </c>
      <c r="L4" s="419" t="s">
        <v>270</v>
      </c>
      <c r="M4" s="419" t="s">
        <v>271</v>
      </c>
      <c r="N4" s="422" t="s">
        <v>272</v>
      </c>
      <c r="O4" s="422" t="s">
        <v>273</v>
      </c>
      <c r="P4" s="419" t="s">
        <v>274</v>
      </c>
      <c r="Q4" s="419" t="s">
        <v>275</v>
      </c>
      <c r="R4" s="422" t="s">
        <v>276</v>
      </c>
      <c r="S4" s="422" t="s">
        <v>276</v>
      </c>
      <c r="T4" s="422" t="s">
        <v>400</v>
      </c>
      <c r="U4" s="422" t="s">
        <v>401</v>
      </c>
      <c r="V4" s="419" t="s">
        <v>402</v>
      </c>
    </row>
    <row r="5" spans="1:22" ht="18.75" customHeight="1" x14ac:dyDescent="0.35">
      <c r="A5" s="987" t="s">
        <v>0</v>
      </c>
      <c r="B5" s="988" t="s">
        <v>1</v>
      </c>
      <c r="C5" s="989" t="s">
        <v>2</v>
      </c>
      <c r="D5" s="990" t="s">
        <v>277</v>
      </c>
      <c r="E5" s="990" t="s">
        <v>318</v>
      </c>
      <c r="F5" s="981" t="s">
        <v>319</v>
      </c>
      <c r="G5" s="981"/>
      <c r="H5" s="981"/>
      <c r="I5" s="981"/>
      <c r="J5" s="981"/>
      <c r="K5" s="981"/>
      <c r="L5" s="981" t="s">
        <v>320</v>
      </c>
      <c r="M5" s="981"/>
      <c r="N5" s="981"/>
      <c r="O5" s="981"/>
      <c r="P5" s="982" t="s">
        <v>321</v>
      </c>
      <c r="Q5" s="982"/>
      <c r="R5" s="983" t="s">
        <v>322</v>
      </c>
      <c r="S5" s="984" t="s">
        <v>323</v>
      </c>
      <c r="T5" s="984"/>
      <c r="U5" s="984"/>
      <c r="V5" s="972" t="s">
        <v>324</v>
      </c>
    </row>
    <row r="6" spans="1:22" ht="15.75" customHeight="1" x14ac:dyDescent="0.25">
      <c r="A6" s="987"/>
      <c r="B6" s="987"/>
      <c r="C6" s="989"/>
      <c r="D6" s="990"/>
      <c r="E6" s="990"/>
      <c r="F6" s="973" t="s">
        <v>325</v>
      </c>
      <c r="G6" s="974" t="s">
        <v>326</v>
      </c>
      <c r="H6" s="975" t="s">
        <v>327</v>
      </c>
      <c r="I6" s="975" t="s">
        <v>328</v>
      </c>
      <c r="J6" s="976" t="s">
        <v>329</v>
      </c>
      <c r="K6" s="976"/>
      <c r="L6" s="975" t="s">
        <v>208</v>
      </c>
      <c r="M6" s="975" t="s">
        <v>210</v>
      </c>
      <c r="N6" s="976" t="s">
        <v>330</v>
      </c>
      <c r="O6" s="976"/>
      <c r="P6" s="975" t="s">
        <v>227</v>
      </c>
      <c r="Q6" s="985" t="s">
        <v>228</v>
      </c>
      <c r="R6" s="983"/>
      <c r="S6" s="986" t="s">
        <v>331</v>
      </c>
      <c r="T6" s="975" t="s">
        <v>332</v>
      </c>
      <c r="U6" s="977" t="s">
        <v>333</v>
      </c>
      <c r="V6" s="972"/>
    </row>
    <row r="7" spans="1:22" ht="15" x14ac:dyDescent="0.25">
      <c r="A7" s="987"/>
      <c r="B7" s="987"/>
      <c r="C7" s="989"/>
      <c r="D7" s="990"/>
      <c r="E7" s="990"/>
      <c r="F7" s="973"/>
      <c r="G7" s="974"/>
      <c r="H7" s="975"/>
      <c r="I7" s="975" t="s">
        <v>334</v>
      </c>
      <c r="J7" s="976"/>
      <c r="K7" s="976"/>
      <c r="L7" s="975"/>
      <c r="M7" s="975"/>
      <c r="N7" s="976"/>
      <c r="O7" s="976"/>
      <c r="P7" s="975"/>
      <c r="Q7" s="985"/>
      <c r="R7" s="983"/>
      <c r="S7" s="986"/>
      <c r="T7" s="975"/>
      <c r="U7" s="977"/>
      <c r="V7" s="972"/>
    </row>
    <row r="8" spans="1:22" ht="15" customHeight="1" x14ac:dyDescent="0.25">
      <c r="A8" s="987"/>
      <c r="B8" s="987"/>
      <c r="C8" s="989"/>
      <c r="D8" s="990"/>
      <c r="E8" s="990"/>
      <c r="F8" s="973"/>
      <c r="G8" s="974"/>
      <c r="H8" s="975"/>
      <c r="I8" s="975" t="s">
        <v>335</v>
      </c>
      <c r="J8" s="423" t="s">
        <v>336</v>
      </c>
      <c r="K8" s="423" t="s">
        <v>337</v>
      </c>
      <c r="L8" s="975"/>
      <c r="M8" s="975"/>
      <c r="N8" s="423" t="s">
        <v>336</v>
      </c>
      <c r="O8" s="423" t="s">
        <v>337</v>
      </c>
      <c r="P8" s="975"/>
      <c r="Q8" s="985"/>
      <c r="R8" s="983"/>
      <c r="S8" s="986"/>
      <c r="T8" s="975"/>
      <c r="U8" s="977"/>
      <c r="V8" s="972"/>
    </row>
    <row r="9" spans="1:22" ht="18" customHeight="1" x14ac:dyDescent="0.35">
      <c r="A9" s="442">
        <v>1</v>
      </c>
      <c r="B9" s="430">
        <v>3</v>
      </c>
      <c r="C9" s="443" t="s">
        <v>8</v>
      </c>
      <c r="D9" s="444" t="s">
        <v>269</v>
      </c>
      <c r="E9" s="445">
        <v>103</v>
      </c>
      <c r="F9" s="424">
        <v>351489</v>
      </c>
      <c r="G9" s="424">
        <v>76057</v>
      </c>
      <c r="H9" s="424">
        <v>118602</v>
      </c>
      <c r="I9" s="424"/>
      <c r="J9" s="424"/>
      <c r="K9" s="424"/>
      <c r="L9" s="424">
        <v>6000</v>
      </c>
      <c r="M9" s="427"/>
      <c r="N9" s="427"/>
      <c r="O9" s="427"/>
      <c r="P9" s="427"/>
      <c r="Q9" s="428"/>
      <c r="R9" s="425">
        <f>SUM(F9:Q9)</f>
        <v>552148</v>
      </c>
      <c r="S9" s="426"/>
      <c r="T9" s="427"/>
      <c r="U9" s="428"/>
      <c r="V9" s="429">
        <f>SUM(R9:U9)</f>
        <v>552148</v>
      </c>
    </row>
    <row r="10" spans="1:22" ht="18" customHeight="1" x14ac:dyDescent="0.35">
      <c r="A10" s="442"/>
      <c r="B10" s="430"/>
      <c r="C10" s="443"/>
      <c r="D10" s="444"/>
      <c r="E10" s="445"/>
      <c r="F10" s="424"/>
      <c r="G10" s="424"/>
      <c r="H10" s="424"/>
      <c r="I10" s="424"/>
      <c r="J10" s="424"/>
      <c r="K10" s="424"/>
      <c r="L10" s="424"/>
      <c r="M10" s="427"/>
      <c r="N10" s="427"/>
      <c r="O10" s="427"/>
      <c r="P10" s="427"/>
      <c r="Q10" s="428"/>
      <c r="R10" s="425">
        <f t="shared" ref="R10:R18" si="0">SUM(F10:Q10)</f>
        <v>0</v>
      </c>
      <c r="S10" s="426"/>
      <c r="T10" s="427"/>
      <c r="U10" s="428"/>
      <c r="V10" s="429">
        <f t="shared" ref="V10:V18" si="1">SUM(R10:U10)</f>
        <v>0</v>
      </c>
    </row>
    <row r="11" spans="1:22" ht="18" customHeight="1" x14ac:dyDescent="0.35">
      <c r="A11" s="430">
        <v>1</v>
      </c>
      <c r="B11" s="430">
        <v>4</v>
      </c>
      <c r="C11" s="443" t="s">
        <v>10</v>
      </c>
      <c r="D11" s="444" t="s">
        <v>269</v>
      </c>
      <c r="E11" s="446">
        <v>28</v>
      </c>
      <c r="F11" s="424">
        <v>73132</v>
      </c>
      <c r="G11" s="424">
        <v>16041</v>
      </c>
      <c r="H11" s="424">
        <v>12378</v>
      </c>
      <c r="I11" s="424"/>
      <c r="J11" s="424"/>
      <c r="K11" s="424"/>
      <c r="L11" s="424">
        <v>920</v>
      </c>
      <c r="M11" s="427"/>
      <c r="N11" s="427"/>
      <c r="O11" s="427"/>
      <c r="P11" s="427"/>
      <c r="Q11" s="428"/>
      <c r="R11" s="425">
        <f t="shared" si="0"/>
        <v>102471</v>
      </c>
      <c r="S11" s="426"/>
      <c r="T11" s="427"/>
      <c r="U11" s="428"/>
      <c r="V11" s="429">
        <f t="shared" si="1"/>
        <v>102471</v>
      </c>
    </row>
    <row r="12" spans="1:22" ht="18" customHeight="1" x14ac:dyDescent="0.35">
      <c r="A12" s="442"/>
      <c r="B12" s="430"/>
      <c r="C12" s="443"/>
      <c r="D12" s="444"/>
      <c r="E12" s="445"/>
      <c r="F12" s="424"/>
      <c r="G12" s="424"/>
      <c r="H12" s="424"/>
      <c r="I12" s="424"/>
      <c r="J12" s="424"/>
      <c r="K12" s="424"/>
      <c r="L12" s="424"/>
      <c r="M12" s="427"/>
      <c r="N12" s="427"/>
      <c r="O12" s="427"/>
      <c r="P12" s="427"/>
      <c r="Q12" s="428"/>
      <c r="R12" s="425">
        <f t="shared" si="0"/>
        <v>0</v>
      </c>
      <c r="S12" s="426"/>
      <c r="T12" s="427"/>
      <c r="U12" s="428"/>
      <c r="V12" s="429">
        <f t="shared" si="1"/>
        <v>0</v>
      </c>
    </row>
    <row r="13" spans="1:22" ht="18" customHeight="1" x14ac:dyDescent="0.35">
      <c r="A13" s="430">
        <v>1</v>
      </c>
      <c r="B13" s="430">
        <v>5</v>
      </c>
      <c r="C13" s="447" t="s">
        <v>397</v>
      </c>
      <c r="D13" s="448" t="s">
        <v>308</v>
      </c>
      <c r="E13" s="446">
        <v>17</v>
      </c>
      <c r="F13" s="424">
        <v>64297</v>
      </c>
      <c r="G13" s="424">
        <v>12663</v>
      </c>
      <c r="H13" s="424">
        <v>29182</v>
      </c>
      <c r="I13" s="424"/>
      <c r="J13" s="424"/>
      <c r="K13" s="424"/>
      <c r="L13" s="424">
        <v>552</v>
      </c>
      <c r="M13" s="427"/>
      <c r="N13" s="427"/>
      <c r="O13" s="427"/>
      <c r="P13" s="427"/>
      <c r="Q13" s="428"/>
      <c r="R13" s="425">
        <f t="shared" si="0"/>
        <v>106694</v>
      </c>
      <c r="S13" s="426"/>
      <c r="T13" s="427"/>
      <c r="U13" s="428"/>
      <c r="V13" s="429">
        <f t="shared" si="1"/>
        <v>106694</v>
      </c>
    </row>
    <row r="14" spans="1:22" ht="18" customHeight="1" x14ac:dyDescent="0.35">
      <c r="A14" s="430"/>
      <c r="B14" s="430"/>
      <c r="C14" s="447"/>
      <c r="D14" s="448"/>
      <c r="E14" s="446"/>
      <c r="F14" s="424"/>
      <c r="G14" s="424"/>
      <c r="H14" s="424"/>
      <c r="I14" s="424"/>
      <c r="J14" s="424"/>
      <c r="K14" s="424"/>
      <c r="L14" s="424"/>
      <c r="M14" s="427"/>
      <c r="N14" s="427"/>
      <c r="O14" s="427"/>
      <c r="P14" s="427"/>
      <c r="Q14" s="428"/>
      <c r="R14" s="425">
        <f t="shared" si="0"/>
        <v>0</v>
      </c>
      <c r="S14" s="426"/>
      <c r="T14" s="427"/>
      <c r="U14" s="428"/>
      <c r="V14" s="429">
        <f t="shared" si="1"/>
        <v>0</v>
      </c>
    </row>
    <row r="15" spans="1:22" ht="18" customHeight="1" x14ac:dyDescent="0.35">
      <c r="A15" s="430">
        <v>1</v>
      </c>
      <c r="B15" s="430">
        <v>2</v>
      </c>
      <c r="C15" s="447" t="s">
        <v>6</v>
      </c>
      <c r="D15" s="448"/>
      <c r="E15" s="446"/>
      <c r="F15" s="424"/>
      <c r="G15" s="424"/>
      <c r="H15" s="424"/>
      <c r="I15" s="424"/>
      <c r="J15" s="424"/>
      <c r="K15" s="424"/>
      <c r="L15" s="424"/>
      <c r="M15" s="427"/>
      <c r="N15" s="427"/>
      <c r="O15" s="427"/>
      <c r="P15" s="427"/>
      <c r="Q15" s="428"/>
      <c r="R15" s="425">
        <f t="shared" si="0"/>
        <v>0</v>
      </c>
      <c r="S15" s="426"/>
      <c r="T15" s="427"/>
      <c r="U15" s="428"/>
      <c r="V15" s="429">
        <f t="shared" si="1"/>
        <v>0</v>
      </c>
    </row>
    <row r="16" spans="1:22" ht="18" customHeight="1" x14ac:dyDescent="0.4">
      <c r="A16" s="430"/>
      <c r="B16" s="430"/>
      <c r="C16" s="449" t="s">
        <v>403</v>
      </c>
      <c r="D16" s="448" t="s">
        <v>387</v>
      </c>
      <c r="E16" s="446">
        <v>49</v>
      </c>
      <c r="F16" s="424">
        <v>259254</v>
      </c>
      <c r="G16" s="424">
        <v>54687</v>
      </c>
      <c r="H16" s="424">
        <f>30448-800-1</f>
        <v>29647</v>
      </c>
      <c r="I16" s="424">
        <v>1500</v>
      </c>
      <c r="J16" s="424"/>
      <c r="K16" s="424"/>
      <c r="L16" s="424">
        <v>14014</v>
      </c>
      <c r="M16" s="427"/>
      <c r="N16" s="427"/>
      <c r="O16" s="427"/>
      <c r="P16" s="427"/>
      <c r="Q16" s="428"/>
      <c r="R16" s="425">
        <f t="shared" si="0"/>
        <v>359102</v>
      </c>
      <c r="S16" s="426"/>
      <c r="T16" s="427"/>
      <c r="U16" s="428"/>
      <c r="V16" s="429">
        <f t="shared" si="1"/>
        <v>359102</v>
      </c>
    </row>
    <row r="17" spans="1:22" ht="37.5" customHeight="1" x14ac:dyDescent="0.4">
      <c r="A17" s="430"/>
      <c r="B17" s="430"/>
      <c r="C17" s="449" t="s">
        <v>674</v>
      </c>
      <c r="D17" s="448" t="s">
        <v>308</v>
      </c>
      <c r="E17" s="446">
        <v>4</v>
      </c>
      <c r="F17" s="424">
        <v>65646</v>
      </c>
      <c r="G17" s="424">
        <v>2231</v>
      </c>
      <c r="H17" s="424">
        <v>18474</v>
      </c>
      <c r="I17" s="424"/>
      <c r="J17" s="424"/>
      <c r="K17" s="424"/>
      <c r="L17" s="424">
        <v>2676</v>
      </c>
      <c r="M17" s="427"/>
      <c r="N17" s="427"/>
      <c r="O17" s="427"/>
      <c r="P17" s="427"/>
      <c r="Q17" s="428"/>
      <c r="R17" s="425">
        <f t="shared" si="0"/>
        <v>89027</v>
      </c>
      <c r="S17" s="426"/>
      <c r="T17" s="427"/>
      <c r="U17" s="428"/>
      <c r="V17" s="429">
        <f t="shared" si="1"/>
        <v>89027</v>
      </c>
    </row>
    <row r="18" spans="1:22" ht="18" customHeight="1" x14ac:dyDescent="0.4">
      <c r="A18" s="430"/>
      <c r="B18" s="430"/>
      <c r="C18" s="449" t="s">
        <v>399</v>
      </c>
      <c r="D18" s="448" t="s">
        <v>308</v>
      </c>
      <c r="E18" s="450">
        <v>2</v>
      </c>
      <c r="F18" s="424">
        <v>7135</v>
      </c>
      <c r="G18" s="424">
        <v>1313</v>
      </c>
      <c r="H18" s="424">
        <v>800</v>
      </c>
      <c r="I18" s="424"/>
      <c r="J18" s="424"/>
      <c r="K18" s="424"/>
      <c r="L18" s="424"/>
      <c r="M18" s="432"/>
      <c r="N18" s="432"/>
      <c r="O18" s="432"/>
      <c r="P18" s="432"/>
      <c r="Q18" s="433"/>
      <c r="R18" s="425">
        <f t="shared" si="0"/>
        <v>9248</v>
      </c>
      <c r="S18" s="431"/>
      <c r="T18" s="432"/>
      <c r="U18" s="433"/>
      <c r="V18" s="429">
        <f t="shared" si="1"/>
        <v>9248</v>
      </c>
    </row>
    <row r="19" spans="1:22" x14ac:dyDescent="0.35">
      <c r="A19" s="434"/>
      <c r="B19" s="435"/>
      <c r="C19" s="436" t="s">
        <v>315</v>
      </c>
      <c r="D19" s="451"/>
      <c r="E19" s="452">
        <f>SUM(E9:E18)</f>
        <v>203</v>
      </c>
      <c r="F19" s="437">
        <f>SUM(F9:F18)</f>
        <v>820953</v>
      </c>
      <c r="G19" s="437">
        <f t="shared" ref="G19:R19" si="2">SUM(G9:G18)</f>
        <v>162992</v>
      </c>
      <c r="H19" s="437">
        <f t="shared" si="2"/>
        <v>209083</v>
      </c>
      <c r="I19" s="437">
        <f t="shared" si="2"/>
        <v>1500</v>
      </c>
      <c r="J19" s="437">
        <f t="shared" si="2"/>
        <v>0</v>
      </c>
      <c r="K19" s="437">
        <f t="shared" si="2"/>
        <v>0</v>
      </c>
      <c r="L19" s="437">
        <f t="shared" si="2"/>
        <v>24162</v>
      </c>
      <c r="M19" s="437">
        <f t="shared" si="2"/>
        <v>0</v>
      </c>
      <c r="N19" s="437">
        <f t="shared" si="2"/>
        <v>0</v>
      </c>
      <c r="O19" s="437">
        <f t="shared" si="2"/>
        <v>0</v>
      </c>
      <c r="P19" s="437">
        <f t="shared" si="2"/>
        <v>0</v>
      </c>
      <c r="Q19" s="437">
        <f t="shared" si="2"/>
        <v>0</v>
      </c>
      <c r="R19" s="437">
        <f t="shared" si="2"/>
        <v>1218690</v>
      </c>
      <c r="S19" s="437">
        <f>SUM(S9:S18)</f>
        <v>0</v>
      </c>
      <c r="T19" s="437">
        <f>SUM(T9:T18)</f>
        <v>0</v>
      </c>
      <c r="U19" s="437">
        <f>SUM(U9:U18)</f>
        <v>0</v>
      </c>
      <c r="V19" s="437">
        <f>SUM(V9:V18)</f>
        <v>1218690</v>
      </c>
    </row>
    <row r="24" spans="1:22" x14ac:dyDescent="0.35">
      <c r="M24" s="616"/>
    </row>
    <row r="25" spans="1:22" x14ac:dyDescent="0.35">
      <c r="M25" s="616"/>
    </row>
    <row r="26" spans="1:22" x14ac:dyDescent="0.35">
      <c r="M26" s="616"/>
    </row>
  </sheetData>
  <sheetProtection selectLockedCells="1" selectUnlockedCells="1"/>
  <mergeCells count="27">
    <mergeCell ref="A5:A8"/>
    <mergeCell ref="B5:B8"/>
    <mergeCell ref="C5:C8"/>
    <mergeCell ref="D5:D8"/>
    <mergeCell ref="E5:E8"/>
    <mergeCell ref="B1:C1"/>
    <mergeCell ref="B2:U2"/>
    <mergeCell ref="Q3:U3"/>
    <mergeCell ref="L5:O5"/>
    <mergeCell ref="P5:Q5"/>
    <mergeCell ref="R5:R8"/>
    <mergeCell ref="S5:U5"/>
    <mergeCell ref="P6:P8"/>
    <mergeCell ref="Q6:Q8"/>
    <mergeCell ref="S6:S8"/>
    <mergeCell ref="F5:K5"/>
    <mergeCell ref="V5:V8"/>
    <mergeCell ref="F6:F8"/>
    <mergeCell ref="G6:G8"/>
    <mergeCell ref="H6:H8"/>
    <mergeCell ref="I6:I8"/>
    <mergeCell ref="J6:K7"/>
    <mergeCell ref="L6:L8"/>
    <mergeCell ref="U6:U8"/>
    <mergeCell ref="M6:M8"/>
    <mergeCell ref="N6:O7"/>
    <mergeCell ref="T6:T8"/>
  </mergeCells>
  <pageMargins left="0.25" right="0.25" top="0.75" bottom="0.75" header="0.51180555555555551" footer="0.51180555555555551"/>
  <pageSetup paperSize="9" scale="37" firstPageNumber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view="pageBreakPreview" zoomScale="90" zoomScaleNormal="90" zoomScaleSheetLayoutView="90" workbookViewId="0">
      <selection sqref="A1:C1"/>
    </sheetView>
  </sheetViews>
  <sheetFormatPr defaultRowHeight="15" x14ac:dyDescent="0.3"/>
  <cols>
    <col min="1" max="1" width="4.5703125" style="778" customWidth="1"/>
    <col min="2" max="2" width="4.5703125" style="779" customWidth="1"/>
    <col min="3" max="3" width="56.42578125" style="780" customWidth="1"/>
    <col min="4" max="4" width="5.5703125" style="781" customWidth="1"/>
    <col min="5" max="11" width="12.5703125" style="782" customWidth="1"/>
    <col min="12" max="14" width="12.5703125" style="854" customWidth="1"/>
    <col min="15" max="17" width="14" style="777" customWidth="1"/>
    <col min="18" max="256" width="9.140625" style="777"/>
    <col min="257" max="258" width="4.5703125" style="777" customWidth="1"/>
    <col min="259" max="259" width="56.42578125" style="777" customWidth="1"/>
    <col min="260" max="260" width="5.5703125" style="777" customWidth="1"/>
    <col min="261" max="270" width="12.5703125" style="777" customWidth="1"/>
    <col min="271" max="273" width="14" style="777" customWidth="1"/>
    <col min="274" max="512" width="9.140625" style="777"/>
    <col min="513" max="514" width="4.5703125" style="777" customWidth="1"/>
    <col min="515" max="515" width="56.42578125" style="777" customWidth="1"/>
    <col min="516" max="516" width="5.5703125" style="777" customWidth="1"/>
    <col min="517" max="526" width="12.5703125" style="777" customWidth="1"/>
    <col min="527" max="529" width="14" style="777" customWidth="1"/>
    <col min="530" max="768" width="9.140625" style="777"/>
    <col min="769" max="770" width="4.5703125" style="777" customWidth="1"/>
    <col min="771" max="771" width="56.42578125" style="777" customWidth="1"/>
    <col min="772" max="772" width="5.5703125" style="777" customWidth="1"/>
    <col min="773" max="782" width="12.5703125" style="777" customWidth="1"/>
    <col min="783" max="785" width="14" style="777" customWidth="1"/>
    <col min="786" max="1024" width="9.140625" style="777"/>
    <col min="1025" max="1026" width="4.5703125" style="777" customWidth="1"/>
    <col min="1027" max="1027" width="56.42578125" style="777" customWidth="1"/>
    <col min="1028" max="1028" width="5.5703125" style="777" customWidth="1"/>
    <col min="1029" max="1038" width="12.5703125" style="777" customWidth="1"/>
    <col min="1039" max="1041" width="14" style="777" customWidth="1"/>
    <col min="1042" max="1280" width="9.140625" style="777"/>
    <col min="1281" max="1282" width="4.5703125" style="777" customWidth="1"/>
    <col min="1283" max="1283" width="56.42578125" style="777" customWidth="1"/>
    <col min="1284" max="1284" width="5.5703125" style="777" customWidth="1"/>
    <col min="1285" max="1294" width="12.5703125" style="777" customWidth="1"/>
    <col min="1295" max="1297" width="14" style="777" customWidth="1"/>
    <col min="1298" max="1536" width="9.140625" style="777"/>
    <col min="1537" max="1538" width="4.5703125" style="777" customWidth="1"/>
    <col min="1539" max="1539" width="56.42578125" style="777" customWidth="1"/>
    <col min="1540" max="1540" width="5.5703125" style="777" customWidth="1"/>
    <col min="1541" max="1550" width="12.5703125" style="777" customWidth="1"/>
    <col min="1551" max="1553" width="14" style="777" customWidth="1"/>
    <col min="1554" max="1792" width="9.140625" style="777"/>
    <col min="1793" max="1794" width="4.5703125" style="777" customWidth="1"/>
    <col min="1795" max="1795" width="56.42578125" style="777" customWidth="1"/>
    <col min="1796" max="1796" width="5.5703125" style="777" customWidth="1"/>
    <col min="1797" max="1806" width="12.5703125" style="777" customWidth="1"/>
    <col min="1807" max="1809" width="14" style="777" customWidth="1"/>
    <col min="1810" max="2048" width="9.140625" style="777"/>
    <col min="2049" max="2050" width="4.5703125" style="777" customWidth="1"/>
    <col min="2051" max="2051" width="56.42578125" style="777" customWidth="1"/>
    <col min="2052" max="2052" width="5.5703125" style="777" customWidth="1"/>
    <col min="2053" max="2062" width="12.5703125" style="777" customWidth="1"/>
    <col min="2063" max="2065" width="14" style="777" customWidth="1"/>
    <col min="2066" max="2304" width="9.140625" style="777"/>
    <col min="2305" max="2306" width="4.5703125" style="777" customWidth="1"/>
    <col min="2307" max="2307" width="56.42578125" style="777" customWidth="1"/>
    <col min="2308" max="2308" width="5.5703125" style="777" customWidth="1"/>
    <col min="2309" max="2318" width="12.5703125" style="777" customWidth="1"/>
    <col min="2319" max="2321" width="14" style="777" customWidth="1"/>
    <col min="2322" max="2560" width="9.140625" style="777"/>
    <col min="2561" max="2562" width="4.5703125" style="777" customWidth="1"/>
    <col min="2563" max="2563" width="56.42578125" style="777" customWidth="1"/>
    <col min="2564" max="2564" width="5.5703125" style="777" customWidth="1"/>
    <col min="2565" max="2574" width="12.5703125" style="777" customWidth="1"/>
    <col min="2575" max="2577" width="14" style="777" customWidth="1"/>
    <col min="2578" max="2816" width="9.140625" style="777"/>
    <col min="2817" max="2818" width="4.5703125" style="777" customWidth="1"/>
    <col min="2819" max="2819" width="56.42578125" style="777" customWidth="1"/>
    <col min="2820" max="2820" width="5.5703125" style="777" customWidth="1"/>
    <col min="2821" max="2830" width="12.5703125" style="777" customWidth="1"/>
    <col min="2831" max="2833" width="14" style="777" customWidth="1"/>
    <col min="2834" max="3072" width="9.140625" style="777"/>
    <col min="3073" max="3074" width="4.5703125" style="777" customWidth="1"/>
    <col min="3075" max="3075" width="56.42578125" style="777" customWidth="1"/>
    <col min="3076" max="3076" width="5.5703125" style="777" customWidth="1"/>
    <col min="3077" max="3086" width="12.5703125" style="777" customWidth="1"/>
    <col min="3087" max="3089" width="14" style="777" customWidth="1"/>
    <col min="3090" max="3328" width="9.140625" style="777"/>
    <col min="3329" max="3330" width="4.5703125" style="777" customWidth="1"/>
    <col min="3331" max="3331" width="56.42578125" style="777" customWidth="1"/>
    <col min="3332" max="3332" width="5.5703125" style="777" customWidth="1"/>
    <col min="3333" max="3342" width="12.5703125" style="777" customWidth="1"/>
    <col min="3343" max="3345" width="14" style="777" customWidth="1"/>
    <col min="3346" max="3584" width="9.140625" style="777"/>
    <col min="3585" max="3586" width="4.5703125" style="777" customWidth="1"/>
    <col min="3587" max="3587" width="56.42578125" style="777" customWidth="1"/>
    <col min="3588" max="3588" width="5.5703125" style="777" customWidth="1"/>
    <col min="3589" max="3598" width="12.5703125" style="777" customWidth="1"/>
    <col min="3599" max="3601" width="14" style="777" customWidth="1"/>
    <col min="3602" max="3840" width="9.140625" style="777"/>
    <col min="3841" max="3842" width="4.5703125" style="777" customWidth="1"/>
    <col min="3843" max="3843" width="56.42578125" style="777" customWidth="1"/>
    <col min="3844" max="3844" width="5.5703125" style="777" customWidth="1"/>
    <col min="3845" max="3854" width="12.5703125" style="777" customWidth="1"/>
    <col min="3855" max="3857" width="14" style="777" customWidth="1"/>
    <col min="3858" max="4096" width="9.140625" style="777"/>
    <col min="4097" max="4098" width="4.5703125" style="777" customWidth="1"/>
    <col min="4099" max="4099" width="56.42578125" style="777" customWidth="1"/>
    <col min="4100" max="4100" width="5.5703125" style="777" customWidth="1"/>
    <col min="4101" max="4110" width="12.5703125" style="777" customWidth="1"/>
    <col min="4111" max="4113" width="14" style="777" customWidth="1"/>
    <col min="4114" max="4352" width="9.140625" style="777"/>
    <col min="4353" max="4354" width="4.5703125" style="777" customWidth="1"/>
    <col min="4355" max="4355" width="56.42578125" style="777" customWidth="1"/>
    <col min="4356" max="4356" width="5.5703125" style="777" customWidth="1"/>
    <col min="4357" max="4366" width="12.5703125" style="777" customWidth="1"/>
    <col min="4367" max="4369" width="14" style="777" customWidth="1"/>
    <col min="4370" max="4608" width="9.140625" style="777"/>
    <col min="4609" max="4610" width="4.5703125" style="777" customWidth="1"/>
    <col min="4611" max="4611" width="56.42578125" style="777" customWidth="1"/>
    <col min="4612" max="4612" width="5.5703125" style="777" customWidth="1"/>
    <col min="4613" max="4622" width="12.5703125" style="777" customWidth="1"/>
    <col min="4623" max="4625" width="14" style="777" customWidth="1"/>
    <col min="4626" max="4864" width="9.140625" style="777"/>
    <col min="4865" max="4866" width="4.5703125" style="777" customWidth="1"/>
    <col min="4867" max="4867" width="56.42578125" style="777" customWidth="1"/>
    <col min="4868" max="4868" width="5.5703125" style="777" customWidth="1"/>
    <col min="4869" max="4878" width="12.5703125" style="777" customWidth="1"/>
    <col min="4879" max="4881" width="14" style="777" customWidth="1"/>
    <col min="4882" max="5120" width="9.140625" style="777"/>
    <col min="5121" max="5122" width="4.5703125" style="777" customWidth="1"/>
    <col min="5123" max="5123" width="56.42578125" style="777" customWidth="1"/>
    <col min="5124" max="5124" width="5.5703125" style="777" customWidth="1"/>
    <col min="5125" max="5134" width="12.5703125" style="777" customWidth="1"/>
    <col min="5135" max="5137" width="14" style="777" customWidth="1"/>
    <col min="5138" max="5376" width="9.140625" style="777"/>
    <col min="5377" max="5378" width="4.5703125" style="777" customWidth="1"/>
    <col min="5379" max="5379" width="56.42578125" style="777" customWidth="1"/>
    <col min="5380" max="5380" width="5.5703125" style="777" customWidth="1"/>
    <col min="5381" max="5390" width="12.5703125" style="777" customWidth="1"/>
    <col min="5391" max="5393" width="14" style="777" customWidth="1"/>
    <col min="5394" max="5632" width="9.140625" style="777"/>
    <col min="5633" max="5634" width="4.5703125" style="777" customWidth="1"/>
    <col min="5635" max="5635" width="56.42578125" style="777" customWidth="1"/>
    <col min="5636" max="5636" width="5.5703125" style="777" customWidth="1"/>
    <col min="5637" max="5646" width="12.5703125" style="777" customWidth="1"/>
    <col min="5647" max="5649" width="14" style="777" customWidth="1"/>
    <col min="5650" max="5888" width="9.140625" style="777"/>
    <col min="5889" max="5890" width="4.5703125" style="777" customWidth="1"/>
    <col min="5891" max="5891" width="56.42578125" style="777" customWidth="1"/>
    <col min="5892" max="5892" width="5.5703125" style="777" customWidth="1"/>
    <col min="5893" max="5902" width="12.5703125" style="777" customWidth="1"/>
    <col min="5903" max="5905" width="14" style="777" customWidth="1"/>
    <col min="5906" max="6144" width="9.140625" style="777"/>
    <col min="6145" max="6146" width="4.5703125" style="777" customWidth="1"/>
    <col min="6147" max="6147" width="56.42578125" style="777" customWidth="1"/>
    <col min="6148" max="6148" width="5.5703125" style="777" customWidth="1"/>
    <col min="6149" max="6158" width="12.5703125" style="777" customWidth="1"/>
    <col min="6159" max="6161" width="14" style="777" customWidth="1"/>
    <col min="6162" max="6400" width="9.140625" style="777"/>
    <col min="6401" max="6402" width="4.5703125" style="777" customWidth="1"/>
    <col min="6403" max="6403" width="56.42578125" style="777" customWidth="1"/>
    <col min="6404" max="6404" width="5.5703125" style="777" customWidth="1"/>
    <col min="6405" max="6414" width="12.5703125" style="777" customWidth="1"/>
    <col min="6415" max="6417" width="14" style="777" customWidth="1"/>
    <col min="6418" max="6656" width="9.140625" style="777"/>
    <col min="6657" max="6658" width="4.5703125" style="777" customWidth="1"/>
    <col min="6659" max="6659" width="56.42578125" style="777" customWidth="1"/>
    <col min="6660" max="6660" width="5.5703125" style="777" customWidth="1"/>
    <col min="6661" max="6670" width="12.5703125" style="777" customWidth="1"/>
    <col min="6671" max="6673" width="14" style="777" customWidth="1"/>
    <col min="6674" max="6912" width="9.140625" style="777"/>
    <col min="6913" max="6914" width="4.5703125" style="777" customWidth="1"/>
    <col min="6915" max="6915" width="56.42578125" style="777" customWidth="1"/>
    <col min="6916" max="6916" width="5.5703125" style="777" customWidth="1"/>
    <col min="6917" max="6926" width="12.5703125" style="777" customWidth="1"/>
    <col min="6927" max="6929" width="14" style="777" customWidth="1"/>
    <col min="6930" max="7168" width="9.140625" style="777"/>
    <col min="7169" max="7170" width="4.5703125" style="777" customWidth="1"/>
    <col min="7171" max="7171" width="56.42578125" style="777" customWidth="1"/>
    <col min="7172" max="7172" width="5.5703125" style="777" customWidth="1"/>
    <col min="7173" max="7182" width="12.5703125" style="777" customWidth="1"/>
    <col min="7183" max="7185" width="14" style="777" customWidth="1"/>
    <col min="7186" max="7424" width="9.140625" style="777"/>
    <col min="7425" max="7426" width="4.5703125" style="777" customWidth="1"/>
    <col min="7427" max="7427" width="56.42578125" style="777" customWidth="1"/>
    <col min="7428" max="7428" width="5.5703125" style="777" customWidth="1"/>
    <col min="7429" max="7438" width="12.5703125" style="777" customWidth="1"/>
    <col min="7439" max="7441" width="14" style="777" customWidth="1"/>
    <col min="7442" max="7680" width="9.140625" style="777"/>
    <col min="7681" max="7682" width="4.5703125" style="777" customWidth="1"/>
    <col min="7683" max="7683" width="56.42578125" style="777" customWidth="1"/>
    <col min="7684" max="7684" width="5.5703125" style="777" customWidth="1"/>
    <col min="7685" max="7694" width="12.5703125" style="777" customWidth="1"/>
    <col min="7695" max="7697" width="14" style="777" customWidth="1"/>
    <col min="7698" max="7936" width="9.140625" style="777"/>
    <col min="7937" max="7938" width="4.5703125" style="777" customWidth="1"/>
    <col min="7939" max="7939" width="56.42578125" style="777" customWidth="1"/>
    <col min="7940" max="7940" width="5.5703125" style="777" customWidth="1"/>
    <col min="7941" max="7950" width="12.5703125" style="777" customWidth="1"/>
    <col min="7951" max="7953" width="14" style="777" customWidth="1"/>
    <col min="7954" max="8192" width="9.140625" style="777"/>
    <col min="8193" max="8194" width="4.5703125" style="777" customWidth="1"/>
    <col min="8195" max="8195" width="56.42578125" style="777" customWidth="1"/>
    <col min="8196" max="8196" width="5.5703125" style="777" customWidth="1"/>
    <col min="8197" max="8206" width="12.5703125" style="777" customWidth="1"/>
    <col min="8207" max="8209" width="14" style="777" customWidth="1"/>
    <col min="8210" max="8448" width="9.140625" style="777"/>
    <col min="8449" max="8450" width="4.5703125" style="777" customWidth="1"/>
    <col min="8451" max="8451" width="56.42578125" style="777" customWidth="1"/>
    <col min="8452" max="8452" width="5.5703125" style="777" customWidth="1"/>
    <col min="8453" max="8462" width="12.5703125" style="777" customWidth="1"/>
    <col min="8463" max="8465" width="14" style="777" customWidth="1"/>
    <col min="8466" max="8704" width="9.140625" style="777"/>
    <col min="8705" max="8706" width="4.5703125" style="777" customWidth="1"/>
    <col min="8707" max="8707" width="56.42578125" style="777" customWidth="1"/>
    <col min="8708" max="8708" width="5.5703125" style="777" customWidth="1"/>
    <col min="8709" max="8718" width="12.5703125" style="777" customWidth="1"/>
    <col min="8719" max="8721" width="14" style="777" customWidth="1"/>
    <col min="8722" max="8960" width="9.140625" style="777"/>
    <col min="8961" max="8962" width="4.5703125" style="777" customWidth="1"/>
    <col min="8963" max="8963" width="56.42578125" style="777" customWidth="1"/>
    <col min="8964" max="8964" width="5.5703125" style="777" customWidth="1"/>
    <col min="8965" max="8974" width="12.5703125" style="777" customWidth="1"/>
    <col min="8975" max="8977" width="14" style="777" customWidth="1"/>
    <col min="8978" max="9216" width="9.140625" style="777"/>
    <col min="9217" max="9218" width="4.5703125" style="777" customWidth="1"/>
    <col min="9219" max="9219" width="56.42578125" style="777" customWidth="1"/>
    <col min="9220" max="9220" width="5.5703125" style="777" customWidth="1"/>
    <col min="9221" max="9230" width="12.5703125" style="777" customWidth="1"/>
    <col min="9231" max="9233" width="14" style="777" customWidth="1"/>
    <col min="9234" max="9472" width="9.140625" style="777"/>
    <col min="9473" max="9474" width="4.5703125" style="777" customWidth="1"/>
    <col min="9475" max="9475" width="56.42578125" style="777" customWidth="1"/>
    <col min="9476" max="9476" width="5.5703125" style="777" customWidth="1"/>
    <col min="9477" max="9486" width="12.5703125" style="777" customWidth="1"/>
    <col min="9487" max="9489" width="14" style="777" customWidth="1"/>
    <col min="9490" max="9728" width="9.140625" style="777"/>
    <col min="9729" max="9730" width="4.5703125" style="777" customWidth="1"/>
    <col min="9731" max="9731" width="56.42578125" style="777" customWidth="1"/>
    <col min="9732" max="9732" width="5.5703125" style="777" customWidth="1"/>
    <col min="9733" max="9742" width="12.5703125" style="777" customWidth="1"/>
    <col min="9743" max="9745" width="14" style="777" customWidth="1"/>
    <col min="9746" max="9984" width="9.140625" style="777"/>
    <col min="9985" max="9986" width="4.5703125" style="777" customWidth="1"/>
    <col min="9987" max="9987" width="56.42578125" style="777" customWidth="1"/>
    <col min="9988" max="9988" width="5.5703125" style="777" customWidth="1"/>
    <col min="9989" max="9998" width="12.5703125" style="777" customWidth="1"/>
    <col min="9999" max="10001" width="14" style="777" customWidth="1"/>
    <col min="10002" max="10240" width="9.140625" style="777"/>
    <col min="10241" max="10242" width="4.5703125" style="777" customWidth="1"/>
    <col min="10243" max="10243" width="56.42578125" style="777" customWidth="1"/>
    <col min="10244" max="10244" width="5.5703125" style="777" customWidth="1"/>
    <col min="10245" max="10254" width="12.5703125" style="777" customWidth="1"/>
    <col min="10255" max="10257" width="14" style="777" customWidth="1"/>
    <col min="10258" max="10496" width="9.140625" style="777"/>
    <col min="10497" max="10498" width="4.5703125" style="777" customWidth="1"/>
    <col min="10499" max="10499" width="56.42578125" style="777" customWidth="1"/>
    <col min="10500" max="10500" width="5.5703125" style="777" customWidth="1"/>
    <col min="10501" max="10510" width="12.5703125" style="777" customWidth="1"/>
    <col min="10511" max="10513" width="14" style="777" customWidth="1"/>
    <col min="10514" max="10752" width="9.140625" style="777"/>
    <col min="10753" max="10754" width="4.5703125" style="777" customWidth="1"/>
    <col min="10755" max="10755" width="56.42578125" style="777" customWidth="1"/>
    <col min="10756" max="10756" width="5.5703125" style="777" customWidth="1"/>
    <col min="10757" max="10766" width="12.5703125" style="777" customWidth="1"/>
    <col min="10767" max="10769" width="14" style="777" customWidth="1"/>
    <col min="10770" max="11008" width="9.140625" style="777"/>
    <col min="11009" max="11010" width="4.5703125" style="777" customWidth="1"/>
    <col min="11011" max="11011" width="56.42578125" style="777" customWidth="1"/>
    <col min="11012" max="11012" width="5.5703125" style="777" customWidth="1"/>
    <col min="11013" max="11022" width="12.5703125" style="777" customWidth="1"/>
    <col min="11023" max="11025" width="14" style="777" customWidth="1"/>
    <col min="11026" max="11264" width="9.140625" style="777"/>
    <col min="11265" max="11266" width="4.5703125" style="777" customWidth="1"/>
    <col min="11267" max="11267" width="56.42578125" style="777" customWidth="1"/>
    <col min="11268" max="11268" width="5.5703125" style="777" customWidth="1"/>
    <col min="11269" max="11278" width="12.5703125" style="777" customWidth="1"/>
    <col min="11279" max="11281" width="14" style="777" customWidth="1"/>
    <col min="11282" max="11520" width="9.140625" style="777"/>
    <col min="11521" max="11522" width="4.5703125" style="777" customWidth="1"/>
    <col min="11523" max="11523" width="56.42578125" style="777" customWidth="1"/>
    <col min="11524" max="11524" width="5.5703125" style="777" customWidth="1"/>
    <col min="11525" max="11534" width="12.5703125" style="777" customWidth="1"/>
    <col min="11535" max="11537" width="14" style="777" customWidth="1"/>
    <col min="11538" max="11776" width="9.140625" style="777"/>
    <col min="11777" max="11778" width="4.5703125" style="777" customWidth="1"/>
    <col min="11779" max="11779" width="56.42578125" style="777" customWidth="1"/>
    <col min="11780" max="11780" width="5.5703125" style="777" customWidth="1"/>
    <col min="11781" max="11790" width="12.5703125" style="777" customWidth="1"/>
    <col min="11791" max="11793" width="14" style="777" customWidth="1"/>
    <col min="11794" max="12032" width="9.140625" style="777"/>
    <col min="12033" max="12034" width="4.5703125" style="777" customWidth="1"/>
    <col min="12035" max="12035" width="56.42578125" style="777" customWidth="1"/>
    <col min="12036" max="12036" width="5.5703125" style="777" customWidth="1"/>
    <col min="12037" max="12046" width="12.5703125" style="777" customWidth="1"/>
    <col min="12047" max="12049" width="14" style="777" customWidth="1"/>
    <col min="12050" max="12288" width="9.140625" style="777"/>
    <col min="12289" max="12290" width="4.5703125" style="777" customWidth="1"/>
    <col min="12291" max="12291" width="56.42578125" style="777" customWidth="1"/>
    <col min="12292" max="12292" width="5.5703125" style="777" customWidth="1"/>
    <col min="12293" max="12302" width="12.5703125" style="777" customWidth="1"/>
    <col min="12303" max="12305" width="14" style="777" customWidth="1"/>
    <col min="12306" max="12544" width="9.140625" style="777"/>
    <col min="12545" max="12546" width="4.5703125" style="777" customWidth="1"/>
    <col min="12547" max="12547" width="56.42578125" style="777" customWidth="1"/>
    <col min="12548" max="12548" width="5.5703125" style="777" customWidth="1"/>
    <col min="12549" max="12558" width="12.5703125" style="777" customWidth="1"/>
    <col min="12559" max="12561" width="14" style="777" customWidth="1"/>
    <col min="12562" max="12800" width="9.140625" style="777"/>
    <col min="12801" max="12802" width="4.5703125" style="777" customWidth="1"/>
    <col min="12803" max="12803" width="56.42578125" style="777" customWidth="1"/>
    <col min="12804" max="12804" width="5.5703125" style="777" customWidth="1"/>
    <col min="12805" max="12814" width="12.5703125" style="777" customWidth="1"/>
    <col min="12815" max="12817" width="14" style="777" customWidth="1"/>
    <col min="12818" max="13056" width="9.140625" style="777"/>
    <col min="13057" max="13058" width="4.5703125" style="777" customWidth="1"/>
    <col min="13059" max="13059" width="56.42578125" style="777" customWidth="1"/>
    <col min="13060" max="13060" width="5.5703125" style="777" customWidth="1"/>
    <col min="13061" max="13070" width="12.5703125" style="777" customWidth="1"/>
    <col min="13071" max="13073" width="14" style="777" customWidth="1"/>
    <col min="13074" max="13312" width="9.140625" style="777"/>
    <col min="13313" max="13314" width="4.5703125" style="777" customWidth="1"/>
    <col min="13315" max="13315" width="56.42578125" style="777" customWidth="1"/>
    <col min="13316" max="13316" width="5.5703125" style="777" customWidth="1"/>
    <col min="13317" max="13326" width="12.5703125" style="777" customWidth="1"/>
    <col min="13327" max="13329" width="14" style="777" customWidth="1"/>
    <col min="13330" max="13568" width="9.140625" style="777"/>
    <col min="13569" max="13570" width="4.5703125" style="777" customWidth="1"/>
    <col min="13571" max="13571" width="56.42578125" style="777" customWidth="1"/>
    <col min="13572" max="13572" width="5.5703125" style="777" customWidth="1"/>
    <col min="13573" max="13582" width="12.5703125" style="777" customWidth="1"/>
    <col min="13583" max="13585" width="14" style="777" customWidth="1"/>
    <col min="13586" max="13824" width="9.140625" style="777"/>
    <col min="13825" max="13826" width="4.5703125" style="777" customWidth="1"/>
    <col min="13827" max="13827" width="56.42578125" style="777" customWidth="1"/>
    <col min="13828" max="13828" width="5.5703125" style="777" customWidth="1"/>
    <col min="13829" max="13838" width="12.5703125" style="777" customWidth="1"/>
    <col min="13839" max="13841" width="14" style="777" customWidth="1"/>
    <col min="13842" max="14080" width="9.140625" style="777"/>
    <col min="14081" max="14082" width="4.5703125" style="777" customWidth="1"/>
    <col min="14083" max="14083" width="56.42578125" style="777" customWidth="1"/>
    <col min="14084" max="14084" width="5.5703125" style="777" customWidth="1"/>
    <col min="14085" max="14094" width="12.5703125" style="777" customWidth="1"/>
    <col min="14095" max="14097" width="14" style="777" customWidth="1"/>
    <col min="14098" max="14336" width="9.140625" style="777"/>
    <col min="14337" max="14338" width="4.5703125" style="777" customWidth="1"/>
    <col min="14339" max="14339" width="56.42578125" style="777" customWidth="1"/>
    <col min="14340" max="14340" width="5.5703125" style="777" customWidth="1"/>
    <col min="14341" max="14350" width="12.5703125" style="777" customWidth="1"/>
    <col min="14351" max="14353" width="14" style="777" customWidth="1"/>
    <col min="14354" max="14592" width="9.140625" style="777"/>
    <col min="14593" max="14594" width="4.5703125" style="777" customWidth="1"/>
    <col min="14595" max="14595" width="56.42578125" style="777" customWidth="1"/>
    <col min="14596" max="14596" width="5.5703125" style="777" customWidth="1"/>
    <col min="14597" max="14606" width="12.5703125" style="777" customWidth="1"/>
    <col min="14607" max="14609" width="14" style="777" customWidth="1"/>
    <col min="14610" max="14848" width="9.140625" style="777"/>
    <col min="14849" max="14850" width="4.5703125" style="777" customWidth="1"/>
    <col min="14851" max="14851" width="56.42578125" style="777" customWidth="1"/>
    <col min="14852" max="14852" width="5.5703125" style="777" customWidth="1"/>
    <col min="14853" max="14862" width="12.5703125" style="777" customWidth="1"/>
    <col min="14863" max="14865" width="14" style="777" customWidth="1"/>
    <col min="14866" max="15104" width="9.140625" style="777"/>
    <col min="15105" max="15106" width="4.5703125" style="777" customWidth="1"/>
    <col min="15107" max="15107" width="56.42578125" style="777" customWidth="1"/>
    <col min="15108" max="15108" width="5.5703125" style="777" customWidth="1"/>
    <col min="15109" max="15118" width="12.5703125" style="777" customWidth="1"/>
    <col min="15119" max="15121" width="14" style="777" customWidth="1"/>
    <col min="15122" max="15360" width="9.140625" style="777"/>
    <col min="15361" max="15362" width="4.5703125" style="777" customWidth="1"/>
    <col min="15363" max="15363" width="56.42578125" style="777" customWidth="1"/>
    <col min="15364" max="15364" width="5.5703125" style="777" customWidth="1"/>
    <col min="15365" max="15374" width="12.5703125" style="777" customWidth="1"/>
    <col min="15375" max="15377" width="14" style="777" customWidth="1"/>
    <col min="15378" max="15616" width="9.140625" style="777"/>
    <col min="15617" max="15618" width="4.5703125" style="777" customWidth="1"/>
    <col min="15619" max="15619" width="56.42578125" style="777" customWidth="1"/>
    <col min="15620" max="15620" width="5.5703125" style="777" customWidth="1"/>
    <col min="15621" max="15630" width="12.5703125" style="777" customWidth="1"/>
    <col min="15631" max="15633" width="14" style="777" customWidth="1"/>
    <col min="15634" max="15872" width="9.140625" style="777"/>
    <col min="15873" max="15874" width="4.5703125" style="777" customWidth="1"/>
    <col min="15875" max="15875" width="56.42578125" style="777" customWidth="1"/>
    <col min="15876" max="15876" width="5.5703125" style="777" customWidth="1"/>
    <col min="15877" max="15886" width="12.5703125" style="777" customWidth="1"/>
    <col min="15887" max="15889" width="14" style="777" customWidth="1"/>
    <col min="15890" max="16128" width="9.140625" style="777"/>
    <col min="16129" max="16130" width="4.5703125" style="777" customWidth="1"/>
    <col min="16131" max="16131" width="56.42578125" style="777" customWidth="1"/>
    <col min="16132" max="16132" width="5.5703125" style="777" customWidth="1"/>
    <col min="16133" max="16142" width="12.5703125" style="777" customWidth="1"/>
    <col min="16143" max="16145" width="14" style="777" customWidth="1"/>
    <col min="16146" max="16384" width="9.140625" style="777"/>
  </cols>
  <sheetData>
    <row r="1" spans="1:14" s="776" customFormat="1" ht="14.25" x14ac:dyDescent="0.3">
      <c r="A1" s="991" t="s">
        <v>716</v>
      </c>
      <c r="B1" s="991"/>
      <c r="C1" s="991"/>
      <c r="D1" s="773"/>
      <c r="E1" s="774"/>
      <c r="F1" s="774"/>
      <c r="G1" s="774"/>
      <c r="H1" s="774"/>
      <c r="I1" s="774"/>
      <c r="J1" s="774"/>
      <c r="K1" s="774"/>
      <c r="L1" s="775"/>
      <c r="M1" s="775"/>
      <c r="N1" s="775"/>
    </row>
    <row r="2" spans="1:14" ht="25.15" customHeight="1" x14ac:dyDescent="0.3">
      <c r="A2" s="992" t="s">
        <v>4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2"/>
    </row>
    <row r="3" spans="1:14" x14ac:dyDescent="0.3">
      <c r="A3" s="992" t="s">
        <v>632</v>
      </c>
      <c r="B3" s="992"/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</row>
    <row r="4" spans="1:14" x14ac:dyDescent="0.3">
      <c r="L4" s="782"/>
      <c r="M4" s="782"/>
      <c r="N4" s="783" t="s">
        <v>316</v>
      </c>
    </row>
    <row r="5" spans="1:14" s="778" customFormat="1" ht="15.75" thickBot="1" x14ac:dyDescent="0.35">
      <c r="A5" s="784" t="s">
        <v>259</v>
      </c>
      <c r="B5" s="785" t="s">
        <v>260</v>
      </c>
      <c r="C5" s="785" t="s">
        <v>261</v>
      </c>
      <c r="D5" s="785" t="s">
        <v>262</v>
      </c>
      <c r="E5" s="785" t="s">
        <v>263</v>
      </c>
      <c r="F5" s="785" t="s">
        <v>264</v>
      </c>
      <c r="G5" s="785" t="s">
        <v>265</v>
      </c>
      <c r="H5" s="785" t="s">
        <v>266</v>
      </c>
      <c r="I5" s="785" t="s">
        <v>267</v>
      </c>
      <c r="J5" s="785" t="s">
        <v>268</v>
      </c>
      <c r="K5" s="785" t="s">
        <v>269</v>
      </c>
      <c r="L5" s="785" t="s">
        <v>270</v>
      </c>
      <c r="M5" s="785" t="s">
        <v>271</v>
      </c>
      <c r="N5" s="785" t="s">
        <v>272</v>
      </c>
    </row>
    <row r="6" spans="1:14" ht="75" customHeight="1" thickBot="1" x14ac:dyDescent="0.35">
      <c r="A6" s="786" t="s">
        <v>0</v>
      </c>
      <c r="B6" s="787" t="s">
        <v>1</v>
      </c>
      <c r="C6" s="788" t="s">
        <v>2</v>
      </c>
      <c r="D6" s="789" t="s">
        <v>404</v>
      </c>
      <c r="E6" s="790" t="s">
        <v>405</v>
      </c>
      <c r="F6" s="790" t="s">
        <v>406</v>
      </c>
      <c r="G6" s="790" t="s">
        <v>407</v>
      </c>
      <c r="H6" s="790" t="s">
        <v>408</v>
      </c>
      <c r="I6" s="790" t="s">
        <v>409</v>
      </c>
      <c r="J6" s="790" t="s">
        <v>410</v>
      </c>
      <c r="K6" s="790" t="s">
        <v>411</v>
      </c>
      <c r="L6" s="790" t="s">
        <v>412</v>
      </c>
      <c r="M6" s="791" t="s">
        <v>413</v>
      </c>
      <c r="N6" s="791" t="s">
        <v>414</v>
      </c>
    </row>
    <row r="7" spans="1:14" x14ac:dyDescent="0.3">
      <c r="A7" s="792"/>
      <c r="B7" s="793"/>
      <c r="C7" s="794" t="s">
        <v>415</v>
      </c>
      <c r="D7" s="795"/>
      <c r="E7" s="796"/>
      <c r="F7" s="796"/>
      <c r="G7" s="796"/>
      <c r="H7" s="796"/>
      <c r="I7" s="796"/>
      <c r="J7" s="796"/>
      <c r="K7" s="796"/>
      <c r="L7" s="796"/>
      <c r="M7" s="797"/>
      <c r="N7" s="797"/>
    </row>
    <row r="8" spans="1:14" ht="18" customHeight="1" x14ac:dyDescent="0.3">
      <c r="A8" s="798"/>
      <c r="B8" s="799"/>
      <c r="C8" s="800" t="s">
        <v>677</v>
      </c>
      <c r="D8" s="801"/>
      <c r="E8" s="802"/>
      <c r="F8" s="802"/>
      <c r="G8" s="802"/>
      <c r="H8" s="802"/>
      <c r="I8" s="803"/>
      <c r="J8" s="803">
        <f>1500/1.27</f>
        <v>1181.1023622047244</v>
      </c>
      <c r="K8" s="803"/>
      <c r="L8" s="804"/>
      <c r="M8" s="805">
        <f>J8*0.27</f>
        <v>318.89763779527561</v>
      </c>
      <c r="N8" s="806">
        <f t="shared" ref="N8:N17" si="0">SUM(E8:M8)</f>
        <v>1500</v>
      </c>
    </row>
    <row r="9" spans="1:14" ht="18" customHeight="1" x14ac:dyDescent="0.3">
      <c r="A9" s="798"/>
      <c r="B9" s="799"/>
      <c r="C9" s="807" t="s">
        <v>678</v>
      </c>
      <c r="D9" s="808"/>
      <c r="E9" s="809"/>
      <c r="F9" s="810"/>
      <c r="G9" s="810"/>
      <c r="H9" s="810"/>
      <c r="I9" s="803"/>
      <c r="J9" s="803">
        <f>800/1.27</f>
        <v>629.9212598425197</v>
      </c>
      <c r="K9" s="803"/>
      <c r="L9" s="811"/>
      <c r="M9" s="805">
        <f>J9*0.27</f>
        <v>170.07874015748033</v>
      </c>
      <c r="N9" s="806">
        <f t="shared" si="0"/>
        <v>800</v>
      </c>
    </row>
    <row r="10" spans="1:14" ht="18" customHeight="1" x14ac:dyDescent="0.3">
      <c r="A10" s="798"/>
      <c r="B10" s="799"/>
      <c r="C10" s="800" t="s">
        <v>679</v>
      </c>
      <c r="D10" s="801"/>
      <c r="E10" s="802"/>
      <c r="F10" s="802"/>
      <c r="G10" s="802">
        <f>750/1.27</f>
        <v>590.55118110236219</v>
      </c>
      <c r="H10" s="802"/>
      <c r="I10" s="803"/>
      <c r="J10" s="803">
        <f>1135/1.27</f>
        <v>893.70078740157476</v>
      </c>
      <c r="K10" s="803"/>
      <c r="L10" s="812"/>
      <c r="M10" s="805">
        <f>SUM(E10:L10)*0.27</f>
        <v>400.74803149606299</v>
      </c>
      <c r="N10" s="806">
        <f t="shared" si="0"/>
        <v>1885</v>
      </c>
    </row>
    <row r="11" spans="1:14" ht="18" customHeight="1" x14ac:dyDescent="0.3">
      <c r="A11" s="798"/>
      <c r="B11" s="799"/>
      <c r="C11" s="800" t="s">
        <v>680</v>
      </c>
      <c r="D11" s="801"/>
      <c r="E11" s="813"/>
      <c r="F11" s="813">
        <f>1000000/1.27</f>
        <v>787401.57480314956</v>
      </c>
      <c r="G11" s="813"/>
      <c r="H11" s="813"/>
      <c r="I11" s="803">
        <f>500000/1.27</f>
        <v>393700.78740157478</v>
      </c>
      <c r="J11" s="803"/>
      <c r="K11" s="803"/>
      <c r="L11" s="804"/>
      <c r="M11" s="805">
        <f t="shared" ref="M11:M17" si="1">SUM(E11:L11)*0.27</f>
        <v>318897.6377952756</v>
      </c>
      <c r="N11" s="806">
        <f t="shared" si="0"/>
        <v>1500000</v>
      </c>
    </row>
    <row r="12" spans="1:14" ht="18" customHeight="1" x14ac:dyDescent="0.3">
      <c r="A12" s="798"/>
      <c r="B12" s="799"/>
      <c r="C12" s="800" t="s">
        <v>681</v>
      </c>
      <c r="D12" s="801"/>
      <c r="E12" s="813"/>
      <c r="F12" s="813">
        <f>5000/1.27</f>
        <v>3937.0078740157478</v>
      </c>
      <c r="G12" s="813"/>
      <c r="H12" s="813"/>
      <c r="I12" s="803"/>
      <c r="J12" s="803"/>
      <c r="K12" s="803"/>
      <c r="L12" s="804"/>
      <c r="M12" s="805">
        <f t="shared" si="1"/>
        <v>1062.992125984252</v>
      </c>
      <c r="N12" s="806">
        <f t="shared" si="0"/>
        <v>5000</v>
      </c>
    </row>
    <row r="13" spans="1:14" ht="18" customHeight="1" x14ac:dyDescent="0.3">
      <c r="A13" s="798"/>
      <c r="B13" s="799"/>
      <c r="C13" s="800" t="s">
        <v>682</v>
      </c>
      <c r="D13" s="801"/>
      <c r="E13" s="802"/>
      <c r="F13" s="802">
        <f>24500/1.27</f>
        <v>19291.338582677166</v>
      </c>
      <c r="G13" s="810"/>
      <c r="H13" s="810"/>
      <c r="I13" s="803"/>
      <c r="J13" s="803"/>
      <c r="K13" s="803"/>
      <c r="L13" s="814"/>
      <c r="M13" s="805">
        <f t="shared" si="1"/>
        <v>5208.6614173228354</v>
      </c>
      <c r="N13" s="806">
        <f t="shared" si="0"/>
        <v>24500</v>
      </c>
    </row>
    <row r="14" spans="1:14" ht="18" customHeight="1" x14ac:dyDescent="0.3">
      <c r="A14" s="798"/>
      <c r="B14" s="799"/>
      <c r="C14" s="800" t="s">
        <v>683</v>
      </c>
      <c r="D14" s="801"/>
      <c r="E14" s="802"/>
      <c r="F14" s="802"/>
      <c r="G14" s="810"/>
      <c r="H14" s="810"/>
      <c r="I14" s="803"/>
      <c r="J14" s="803">
        <f>740/1.27</f>
        <v>582.67716535433067</v>
      </c>
      <c r="K14" s="803"/>
      <c r="L14" s="814"/>
      <c r="M14" s="805">
        <f t="shared" si="1"/>
        <v>157.3228346456693</v>
      </c>
      <c r="N14" s="806">
        <f t="shared" si="0"/>
        <v>740</v>
      </c>
    </row>
    <row r="15" spans="1:14" ht="18" customHeight="1" x14ac:dyDescent="0.3">
      <c r="A15" s="798"/>
      <c r="B15" s="799"/>
      <c r="C15" s="800" t="s">
        <v>684</v>
      </c>
      <c r="D15" s="801"/>
      <c r="E15" s="802"/>
      <c r="F15" s="802">
        <f>80073/1.27</f>
        <v>63049.606299212595</v>
      </c>
      <c r="G15" s="802"/>
      <c r="H15" s="802"/>
      <c r="I15" s="803">
        <f>10000/1.27</f>
        <v>7874.0157480314956</v>
      </c>
      <c r="J15" s="803"/>
      <c r="K15" s="803"/>
      <c r="L15" s="812"/>
      <c r="M15" s="805">
        <f t="shared" si="1"/>
        <v>19149.377952755905</v>
      </c>
      <c r="N15" s="806">
        <f t="shared" si="0"/>
        <v>90073</v>
      </c>
    </row>
    <row r="16" spans="1:14" ht="18" customHeight="1" x14ac:dyDescent="0.3">
      <c r="A16" s="798"/>
      <c r="B16" s="799"/>
      <c r="C16" s="800" t="s">
        <v>685</v>
      </c>
      <c r="D16" s="801"/>
      <c r="E16" s="802"/>
      <c r="F16" s="802"/>
      <c r="G16" s="802"/>
      <c r="H16" s="802"/>
      <c r="I16" s="803"/>
      <c r="J16" s="803">
        <f>5000/1.27</f>
        <v>3937.0078740157478</v>
      </c>
      <c r="K16" s="803"/>
      <c r="L16" s="812"/>
      <c r="M16" s="805">
        <f t="shared" si="1"/>
        <v>1062.992125984252</v>
      </c>
      <c r="N16" s="806">
        <f t="shared" si="0"/>
        <v>5000</v>
      </c>
    </row>
    <row r="17" spans="1:15" ht="18" customHeight="1" thickBot="1" x14ac:dyDescent="0.35">
      <c r="A17" s="798"/>
      <c r="B17" s="799"/>
      <c r="C17" s="815" t="s">
        <v>686</v>
      </c>
      <c r="D17" s="801"/>
      <c r="E17" s="810"/>
      <c r="F17" s="810"/>
      <c r="G17" s="810"/>
      <c r="H17" s="810"/>
      <c r="I17" s="803"/>
      <c r="J17" s="803">
        <f>(9905+57479+882070+215584)/1.27</f>
        <v>917352.75590551179</v>
      </c>
      <c r="K17" s="803"/>
      <c r="L17" s="814"/>
      <c r="M17" s="805">
        <f t="shared" si="1"/>
        <v>247685.24409448821</v>
      </c>
      <c r="N17" s="806">
        <f t="shared" si="0"/>
        <v>1165038</v>
      </c>
    </row>
    <row r="18" spans="1:15" s="823" customFormat="1" ht="18" customHeight="1" thickTop="1" thickBot="1" x14ac:dyDescent="0.35">
      <c r="A18" s="816"/>
      <c r="B18" s="817"/>
      <c r="C18" s="818" t="s">
        <v>416</v>
      </c>
      <c r="D18" s="819"/>
      <c r="E18" s="820">
        <f>SUM(E8:E17)</f>
        <v>0</v>
      </c>
      <c r="F18" s="820">
        <f t="shared" ref="F18:N18" si="2">SUM(F7:F17)</f>
        <v>873679.52755905502</v>
      </c>
      <c r="G18" s="820">
        <f t="shared" si="2"/>
        <v>590.55118110236219</v>
      </c>
      <c r="H18" s="820">
        <f t="shared" si="2"/>
        <v>0</v>
      </c>
      <c r="I18" s="820">
        <f t="shared" si="2"/>
        <v>401574.80314960628</v>
      </c>
      <c r="J18" s="820">
        <f t="shared" si="2"/>
        <v>924577.16535433067</v>
      </c>
      <c r="K18" s="820">
        <f t="shared" si="2"/>
        <v>0</v>
      </c>
      <c r="L18" s="820">
        <f t="shared" si="2"/>
        <v>0</v>
      </c>
      <c r="M18" s="820">
        <f t="shared" si="2"/>
        <v>594113.95275590545</v>
      </c>
      <c r="N18" s="821">
        <f t="shared" si="2"/>
        <v>2794536</v>
      </c>
      <c r="O18" s="822"/>
    </row>
    <row r="19" spans="1:15" s="831" customFormat="1" ht="24" customHeight="1" thickTop="1" x14ac:dyDescent="0.3">
      <c r="A19" s="824"/>
      <c r="B19" s="825"/>
      <c r="C19" s="826" t="s">
        <v>417</v>
      </c>
      <c r="D19" s="827"/>
      <c r="E19" s="828"/>
      <c r="F19" s="828"/>
      <c r="G19" s="828"/>
      <c r="H19" s="828"/>
      <c r="I19" s="828"/>
      <c r="J19" s="828"/>
      <c r="K19" s="828"/>
      <c r="L19" s="828"/>
      <c r="M19" s="829"/>
      <c r="N19" s="830"/>
    </row>
    <row r="20" spans="1:15" ht="18" customHeight="1" x14ac:dyDescent="0.3">
      <c r="A20" s="798"/>
      <c r="B20" s="799"/>
      <c r="C20" s="832"/>
      <c r="D20" s="833"/>
      <c r="E20" s="810"/>
      <c r="F20" s="810"/>
      <c r="G20" s="810"/>
      <c r="H20" s="810"/>
      <c r="I20" s="803"/>
      <c r="J20" s="803"/>
      <c r="K20" s="803"/>
      <c r="L20" s="814"/>
      <c r="M20" s="834"/>
      <c r="N20" s="835"/>
    </row>
    <row r="21" spans="1:15" s="837" customFormat="1" ht="18" customHeight="1" x14ac:dyDescent="0.3">
      <c r="A21" s="798"/>
      <c r="B21" s="799"/>
      <c r="C21" s="832" t="s">
        <v>572</v>
      </c>
      <c r="D21" s="801"/>
      <c r="E21" s="836"/>
      <c r="F21" s="836"/>
      <c r="G21" s="836"/>
      <c r="H21" s="836"/>
      <c r="I21" s="836"/>
      <c r="J21" s="836"/>
      <c r="K21" s="836"/>
      <c r="L21" s="836"/>
      <c r="M21" s="834"/>
      <c r="N21" s="835"/>
    </row>
    <row r="22" spans="1:15" ht="18" customHeight="1" x14ac:dyDescent="0.3">
      <c r="A22" s="798"/>
      <c r="B22" s="799"/>
      <c r="C22" s="838" t="s">
        <v>687</v>
      </c>
      <c r="D22" s="839"/>
      <c r="E22" s="839"/>
      <c r="F22" s="839"/>
      <c r="G22" s="840"/>
      <c r="H22" s="840"/>
      <c r="I22" s="841"/>
      <c r="J22" s="841">
        <f>920/1.27</f>
        <v>724.40944881889766</v>
      </c>
      <c r="K22" s="841"/>
      <c r="L22" s="842"/>
      <c r="M22" s="834">
        <f t="shared" ref="M22:M29" si="3">SUM(E22:L22)*0.27</f>
        <v>195.59055118110237</v>
      </c>
      <c r="N22" s="835">
        <f t="shared" ref="N22:N29" si="4">SUM(E22:M22)</f>
        <v>920</v>
      </c>
    </row>
    <row r="23" spans="1:15" ht="18" customHeight="1" x14ac:dyDescent="0.3">
      <c r="A23" s="798"/>
      <c r="B23" s="799"/>
      <c r="C23" s="838"/>
      <c r="D23" s="839"/>
      <c r="E23" s="839"/>
      <c r="F23" s="839"/>
      <c r="G23" s="840"/>
      <c r="H23" s="840"/>
      <c r="I23" s="841"/>
      <c r="J23" s="841"/>
      <c r="K23" s="841"/>
      <c r="L23" s="842"/>
      <c r="M23" s="834">
        <f t="shared" si="3"/>
        <v>0</v>
      </c>
      <c r="N23" s="835">
        <f t="shared" si="4"/>
        <v>0</v>
      </c>
    </row>
    <row r="24" spans="1:15" s="837" customFormat="1" ht="18" customHeight="1" x14ac:dyDescent="0.3">
      <c r="A24" s="798"/>
      <c r="B24" s="799"/>
      <c r="C24" s="832" t="s">
        <v>573</v>
      </c>
      <c r="D24" s="801"/>
      <c r="E24" s="810"/>
      <c r="F24" s="810"/>
      <c r="G24" s="810"/>
      <c r="H24" s="810"/>
      <c r="I24" s="803"/>
      <c r="J24" s="803"/>
      <c r="K24" s="803"/>
      <c r="L24" s="814"/>
      <c r="M24" s="834">
        <f t="shared" si="3"/>
        <v>0</v>
      </c>
      <c r="N24" s="835">
        <f t="shared" si="4"/>
        <v>0</v>
      </c>
    </row>
    <row r="25" spans="1:15" ht="18" customHeight="1" x14ac:dyDescent="0.3">
      <c r="A25" s="798"/>
      <c r="B25" s="799"/>
      <c r="C25" s="838" t="s">
        <v>688</v>
      </c>
      <c r="D25" s="839"/>
      <c r="E25" s="839"/>
      <c r="F25" s="839"/>
      <c r="G25" s="840">
        <f>5000/1.27</f>
        <v>3937.0078740157478</v>
      </c>
      <c r="H25" s="840">
        <f>4617/1.27</f>
        <v>3635.4330708661419</v>
      </c>
      <c r="I25" s="841"/>
      <c r="J25" s="841"/>
      <c r="K25" s="841"/>
      <c r="L25" s="842"/>
      <c r="M25" s="834">
        <f t="shared" si="3"/>
        <v>2044.5590551181103</v>
      </c>
      <c r="N25" s="835">
        <f t="shared" si="4"/>
        <v>9617</v>
      </c>
    </row>
    <row r="26" spans="1:15" ht="18" customHeight="1" x14ac:dyDescent="0.3">
      <c r="A26" s="798"/>
      <c r="B26" s="799"/>
      <c r="C26" s="838" t="s">
        <v>689</v>
      </c>
      <c r="D26" s="839"/>
      <c r="E26" s="839"/>
      <c r="F26" s="839"/>
      <c r="G26" s="840"/>
      <c r="H26" s="840"/>
      <c r="I26" s="841"/>
      <c r="J26" s="841">
        <f>4397/1.27</f>
        <v>3462.2047244094488</v>
      </c>
      <c r="K26" s="841"/>
      <c r="L26" s="842"/>
      <c r="M26" s="834">
        <f t="shared" si="3"/>
        <v>934.79527559055123</v>
      </c>
      <c r="N26" s="835">
        <f t="shared" si="4"/>
        <v>4397</v>
      </c>
      <c r="O26" s="782"/>
    </row>
    <row r="27" spans="1:15" ht="18" customHeight="1" x14ac:dyDescent="0.3">
      <c r="A27" s="798"/>
      <c r="B27" s="799"/>
      <c r="C27" s="838" t="s">
        <v>674</v>
      </c>
      <c r="D27" s="839"/>
      <c r="E27" s="839"/>
      <c r="F27" s="839"/>
      <c r="G27" s="840"/>
      <c r="H27" s="840"/>
      <c r="I27" s="841"/>
      <c r="J27" s="841">
        <f>2676/1.27</f>
        <v>2107.0866141732281</v>
      </c>
      <c r="K27" s="841"/>
      <c r="L27" s="842"/>
      <c r="M27" s="834">
        <f t="shared" si="3"/>
        <v>568.91338582677167</v>
      </c>
      <c r="N27" s="835">
        <f t="shared" si="4"/>
        <v>2676</v>
      </c>
    </row>
    <row r="28" spans="1:15" ht="18" customHeight="1" x14ac:dyDescent="0.3">
      <c r="A28" s="798"/>
      <c r="B28" s="799"/>
      <c r="C28" s="838"/>
      <c r="D28" s="839"/>
      <c r="E28" s="839"/>
      <c r="F28" s="839"/>
      <c r="G28" s="840"/>
      <c r="H28" s="840"/>
      <c r="I28" s="841"/>
      <c r="J28" s="841"/>
      <c r="K28" s="841"/>
      <c r="L28" s="842"/>
      <c r="M28" s="834"/>
      <c r="N28" s="835"/>
    </row>
    <row r="29" spans="1:15" ht="18" customHeight="1" x14ac:dyDescent="0.3">
      <c r="A29" s="798"/>
      <c r="B29" s="799"/>
      <c r="C29" s="832" t="s">
        <v>574</v>
      </c>
      <c r="D29" s="843"/>
      <c r="E29" s="843"/>
      <c r="F29" s="843"/>
      <c r="G29" s="810"/>
      <c r="H29" s="810"/>
      <c r="I29" s="803"/>
      <c r="J29" s="803"/>
      <c r="K29" s="803"/>
      <c r="L29" s="814"/>
      <c r="M29" s="834">
        <f t="shared" si="3"/>
        <v>0</v>
      </c>
      <c r="N29" s="835">
        <f t="shared" si="4"/>
        <v>0</v>
      </c>
    </row>
    <row r="30" spans="1:15" s="837" customFormat="1" ht="18" customHeight="1" x14ac:dyDescent="0.3">
      <c r="A30" s="798"/>
      <c r="B30" s="799"/>
      <c r="C30" s="844" t="s">
        <v>690</v>
      </c>
      <c r="D30" s="801"/>
      <c r="E30" s="810"/>
      <c r="F30" s="810"/>
      <c r="G30" s="810">
        <f>1500/1.27</f>
        <v>1181.1023622047244</v>
      </c>
      <c r="H30" s="810"/>
      <c r="I30" s="803"/>
      <c r="J30" s="803"/>
      <c r="K30" s="803"/>
      <c r="L30" s="814"/>
      <c r="M30" s="834">
        <f>SUM(E30:L30)*0.27</f>
        <v>318.89763779527561</v>
      </c>
      <c r="N30" s="835">
        <f>SUM(E30:M30)</f>
        <v>1500</v>
      </c>
    </row>
    <row r="31" spans="1:15" ht="18" customHeight="1" x14ac:dyDescent="0.3">
      <c r="A31" s="798"/>
      <c r="B31" s="799"/>
      <c r="C31" s="844" t="s">
        <v>691</v>
      </c>
      <c r="D31" s="839"/>
      <c r="E31" s="839"/>
      <c r="F31" s="839"/>
      <c r="G31" s="840"/>
      <c r="H31" s="840"/>
      <c r="I31" s="841">
        <f>3500/1.27</f>
        <v>2755.9055118110236</v>
      </c>
      <c r="J31" s="841">
        <f>1000/1.27</f>
        <v>787.40157480314963</v>
      </c>
      <c r="K31" s="841"/>
      <c r="L31" s="842"/>
      <c r="M31" s="834">
        <f>SUM(E31:L31)*0.27</f>
        <v>956.69291338582684</v>
      </c>
      <c r="N31" s="835">
        <f>SUM(E31:M31)</f>
        <v>4500</v>
      </c>
    </row>
    <row r="32" spans="1:15" ht="24" customHeight="1" x14ac:dyDescent="0.3">
      <c r="A32" s="798"/>
      <c r="B32" s="799"/>
      <c r="C32" s="845"/>
      <c r="D32" s="801"/>
      <c r="E32" s="810"/>
      <c r="F32" s="810"/>
      <c r="G32" s="810"/>
      <c r="H32" s="810"/>
      <c r="I32" s="803"/>
      <c r="J32" s="803"/>
      <c r="K32" s="803"/>
      <c r="L32" s="814"/>
      <c r="M32" s="834"/>
      <c r="N32" s="835"/>
    </row>
    <row r="33" spans="1:14" ht="24" customHeight="1" thickBot="1" x14ac:dyDescent="0.35">
      <c r="A33" s="798"/>
      <c r="B33" s="799"/>
      <c r="C33" s="845" t="s">
        <v>397</v>
      </c>
      <c r="D33" s="801"/>
      <c r="E33" s="810"/>
      <c r="F33" s="810"/>
      <c r="G33" s="810"/>
      <c r="H33" s="810"/>
      <c r="I33" s="803"/>
      <c r="J33" s="803"/>
      <c r="K33" s="803"/>
      <c r="L33" s="814"/>
      <c r="M33" s="834"/>
      <c r="N33" s="835"/>
    </row>
    <row r="34" spans="1:14" ht="18" hidden="1" customHeight="1" x14ac:dyDescent="0.3">
      <c r="A34" s="798"/>
      <c r="B34" s="799"/>
      <c r="C34" s="838" t="s">
        <v>692</v>
      </c>
      <c r="D34" s="839"/>
      <c r="E34" s="839"/>
      <c r="F34" s="839"/>
      <c r="G34" s="840"/>
      <c r="H34" s="840"/>
      <c r="I34" s="841">
        <f>552/1.27</f>
        <v>434.64566929133855</v>
      </c>
      <c r="J34" s="841"/>
      <c r="K34" s="841"/>
      <c r="L34" s="842"/>
      <c r="M34" s="834">
        <f>SUM(E34:L34)*0.27</f>
        <v>117.35433070866142</v>
      </c>
      <c r="N34" s="835">
        <f>SUM(E34:M34)</f>
        <v>552</v>
      </c>
    </row>
    <row r="35" spans="1:14" s="823" customFormat="1" ht="16.5" thickTop="1" thickBot="1" x14ac:dyDescent="0.35">
      <c r="A35" s="816"/>
      <c r="B35" s="817"/>
      <c r="C35" s="818" t="s">
        <v>418</v>
      </c>
      <c r="D35" s="819"/>
      <c r="E35" s="820">
        <f>E21+E24+E30+E33</f>
        <v>0</v>
      </c>
      <c r="F35" s="820">
        <f>SUM(F21:F34)</f>
        <v>0</v>
      </c>
      <c r="G35" s="820">
        <f t="shared" ref="G35:M35" si="5">SUM(G21:G34)</f>
        <v>5118.110236220472</v>
      </c>
      <c r="H35" s="820">
        <f t="shared" si="5"/>
        <v>3635.4330708661419</v>
      </c>
      <c r="I35" s="820">
        <f t="shared" si="5"/>
        <v>3190.5511811023621</v>
      </c>
      <c r="J35" s="820">
        <f t="shared" si="5"/>
        <v>7081.1023622047242</v>
      </c>
      <c r="K35" s="820">
        <f t="shared" si="5"/>
        <v>0</v>
      </c>
      <c r="L35" s="820">
        <f t="shared" si="5"/>
        <v>0</v>
      </c>
      <c r="M35" s="820">
        <f t="shared" si="5"/>
        <v>5136.8031496062995</v>
      </c>
      <c r="N35" s="846">
        <f>SUM(E35:M35)</f>
        <v>24162</v>
      </c>
    </row>
    <row r="36" spans="1:14" s="823" customFormat="1" ht="16.5" thickTop="1" thickBot="1" x14ac:dyDescent="0.35">
      <c r="A36" s="847"/>
      <c r="B36" s="848"/>
      <c r="C36" s="849" t="s">
        <v>419</v>
      </c>
      <c r="D36" s="850"/>
      <c r="E36" s="851">
        <f t="shared" ref="E36:N36" si="6">E18+E35</f>
        <v>0</v>
      </c>
      <c r="F36" s="851">
        <f t="shared" si="6"/>
        <v>873679.52755905502</v>
      </c>
      <c r="G36" s="851">
        <f t="shared" si="6"/>
        <v>5708.6614173228345</v>
      </c>
      <c r="H36" s="851">
        <f t="shared" si="6"/>
        <v>3635.4330708661419</v>
      </c>
      <c r="I36" s="851">
        <f t="shared" si="6"/>
        <v>404765.35433070862</v>
      </c>
      <c r="J36" s="851">
        <f t="shared" si="6"/>
        <v>931658.26771653537</v>
      </c>
      <c r="K36" s="851">
        <f t="shared" si="6"/>
        <v>0</v>
      </c>
      <c r="L36" s="851">
        <f t="shared" si="6"/>
        <v>0</v>
      </c>
      <c r="M36" s="852">
        <f t="shared" si="6"/>
        <v>599250.75590551179</v>
      </c>
      <c r="N36" s="853">
        <f t="shared" si="6"/>
        <v>2818698</v>
      </c>
    </row>
    <row r="37" spans="1:14" ht="15.75" hidden="1" thickBot="1" x14ac:dyDescent="0.35">
      <c r="E37" s="782">
        <v>4964663</v>
      </c>
      <c r="F37" s="782">
        <v>825340</v>
      </c>
      <c r="G37" s="782">
        <v>1807445</v>
      </c>
      <c r="L37" s="854">
        <v>4024489</v>
      </c>
      <c r="N37" s="854">
        <v>728849</v>
      </c>
    </row>
    <row r="38" spans="1:14" s="861" customFormat="1" ht="13.5" x14ac:dyDescent="0.3">
      <c r="A38" s="855"/>
      <c r="B38" s="856"/>
      <c r="C38" s="857"/>
      <c r="D38" s="858"/>
      <c r="E38" s="859"/>
      <c r="F38" s="859"/>
      <c r="G38" s="859"/>
      <c r="H38" s="859"/>
      <c r="I38" s="859"/>
      <c r="J38" s="859"/>
      <c r="K38" s="859"/>
      <c r="L38" s="860"/>
      <c r="M38" s="860"/>
      <c r="N38" s="860"/>
    </row>
  </sheetData>
  <sheetProtection selectLockedCells="1" selectUnlockedCells="1"/>
  <mergeCells count="3">
    <mergeCell ref="A1:C1"/>
    <mergeCell ref="A2:N2"/>
    <mergeCell ref="A3:N3"/>
  </mergeCells>
  <printOptions horizontalCentered="1"/>
  <pageMargins left="0.19652777777777777" right="0.19652777777777777" top="0.59027777777777779" bottom="0.39374999999999999" header="0.51180555555555551" footer="0.51180555555555551"/>
  <pageSetup paperSize="9" scale="73" firstPageNumber="0" fitToHeight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6"/>
  <sheetViews>
    <sheetView view="pageBreakPreview" workbookViewId="0">
      <selection activeCell="D277" sqref="D277"/>
    </sheetView>
  </sheetViews>
  <sheetFormatPr defaultRowHeight="15" x14ac:dyDescent="0.25"/>
  <cols>
    <col min="1" max="1" width="28.5703125" customWidth="1"/>
    <col min="2" max="5" width="15.5703125" customWidth="1"/>
    <col min="257" max="257" width="28.5703125" customWidth="1"/>
    <col min="258" max="261" width="15.5703125" customWidth="1"/>
    <col min="513" max="513" width="28.5703125" customWidth="1"/>
    <col min="514" max="517" width="15.5703125" customWidth="1"/>
    <col min="769" max="769" width="28.5703125" customWidth="1"/>
    <col min="770" max="773" width="15.5703125" customWidth="1"/>
    <col min="1025" max="1025" width="28.5703125" customWidth="1"/>
    <col min="1026" max="1029" width="15.5703125" customWidth="1"/>
    <col min="1281" max="1281" width="28.5703125" customWidth="1"/>
    <col min="1282" max="1285" width="15.5703125" customWidth="1"/>
    <col min="1537" max="1537" width="28.5703125" customWidth="1"/>
    <col min="1538" max="1541" width="15.5703125" customWidth="1"/>
    <col min="1793" max="1793" width="28.5703125" customWidth="1"/>
    <col min="1794" max="1797" width="15.5703125" customWidth="1"/>
    <col min="2049" max="2049" width="28.5703125" customWidth="1"/>
    <col min="2050" max="2053" width="15.5703125" customWidth="1"/>
    <col min="2305" max="2305" width="28.5703125" customWidth="1"/>
    <col min="2306" max="2309" width="15.5703125" customWidth="1"/>
    <col min="2561" max="2561" width="28.5703125" customWidth="1"/>
    <col min="2562" max="2565" width="15.5703125" customWidth="1"/>
    <col min="2817" max="2817" width="28.5703125" customWidth="1"/>
    <col min="2818" max="2821" width="15.5703125" customWidth="1"/>
    <col min="3073" max="3073" width="28.5703125" customWidth="1"/>
    <col min="3074" max="3077" width="15.5703125" customWidth="1"/>
    <col min="3329" max="3329" width="28.5703125" customWidth="1"/>
    <col min="3330" max="3333" width="15.5703125" customWidth="1"/>
    <col min="3585" max="3585" width="28.5703125" customWidth="1"/>
    <col min="3586" max="3589" width="15.5703125" customWidth="1"/>
    <col min="3841" max="3841" width="28.5703125" customWidth="1"/>
    <col min="3842" max="3845" width="15.5703125" customWidth="1"/>
    <col min="4097" max="4097" width="28.5703125" customWidth="1"/>
    <col min="4098" max="4101" width="15.5703125" customWidth="1"/>
    <col min="4353" max="4353" width="28.5703125" customWidth="1"/>
    <col min="4354" max="4357" width="15.5703125" customWidth="1"/>
    <col min="4609" max="4609" width="28.5703125" customWidth="1"/>
    <col min="4610" max="4613" width="15.5703125" customWidth="1"/>
    <col min="4865" max="4865" width="28.5703125" customWidth="1"/>
    <col min="4866" max="4869" width="15.5703125" customWidth="1"/>
    <col min="5121" max="5121" width="28.5703125" customWidth="1"/>
    <col min="5122" max="5125" width="15.5703125" customWidth="1"/>
    <col min="5377" max="5377" width="28.5703125" customWidth="1"/>
    <col min="5378" max="5381" width="15.5703125" customWidth="1"/>
    <col min="5633" max="5633" width="28.5703125" customWidth="1"/>
    <col min="5634" max="5637" width="15.5703125" customWidth="1"/>
    <col min="5889" max="5889" width="28.5703125" customWidth="1"/>
    <col min="5890" max="5893" width="15.5703125" customWidth="1"/>
    <col min="6145" max="6145" width="28.5703125" customWidth="1"/>
    <col min="6146" max="6149" width="15.5703125" customWidth="1"/>
    <col min="6401" max="6401" width="28.5703125" customWidth="1"/>
    <col min="6402" max="6405" width="15.5703125" customWidth="1"/>
    <col min="6657" max="6657" width="28.5703125" customWidth="1"/>
    <col min="6658" max="6661" width="15.5703125" customWidth="1"/>
    <col min="6913" max="6913" width="28.5703125" customWidth="1"/>
    <col min="6914" max="6917" width="15.5703125" customWidth="1"/>
    <col min="7169" max="7169" width="28.5703125" customWidth="1"/>
    <col min="7170" max="7173" width="15.5703125" customWidth="1"/>
    <col min="7425" max="7425" width="28.5703125" customWidth="1"/>
    <col min="7426" max="7429" width="15.5703125" customWidth="1"/>
    <col min="7681" max="7681" width="28.5703125" customWidth="1"/>
    <col min="7682" max="7685" width="15.5703125" customWidth="1"/>
    <col min="7937" max="7937" width="28.5703125" customWidth="1"/>
    <col min="7938" max="7941" width="15.5703125" customWidth="1"/>
    <col min="8193" max="8193" width="28.5703125" customWidth="1"/>
    <col min="8194" max="8197" width="15.5703125" customWidth="1"/>
    <col min="8449" max="8449" width="28.5703125" customWidth="1"/>
    <col min="8450" max="8453" width="15.5703125" customWidth="1"/>
    <col min="8705" max="8705" width="28.5703125" customWidth="1"/>
    <col min="8706" max="8709" width="15.5703125" customWidth="1"/>
    <col min="8961" max="8961" width="28.5703125" customWidth="1"/>
    <col min="8962" max="8965" width="15.5703125" customWidth="1"/>
    <col min="9217" max="9217" width="28.5703125" customWidth="1"/>
    <col min="9218" max="9221" width="15.5703125" customWidth="1"/>
    <col min="9473" max="9473" width="28.5703125" customWidth="1"/>
    <col min="9474" max="9477" width="15.5703125" customWidth="1"/>
    <col min="9729" max="9729" width="28.5703125" customWidth="1"/>
    <col min="9730" max="9733" width="15.5703125" customWidth="1"/>
    <col min="9985" max="9985" width="28.5703125" customWidth="1"/>
    <col min="9986" max="9989" width="15.5703125" customWidth="1"/>
    <col min="10241" max="10241" width="28.5703125" customWidth="1"/>
    <col min="10242" max="10245" width="15.5703125" customWidth="1"/>
    <col min="10497" max="10497" width="28.5703125" customWidth="1"/>
    <col min="10498" max="10501" width="15.5703125" customWidth="1"/>
    <col min="10753" max="10753" width="28.5703125" customWidth="1"/>
    <col min="10754" max="10757" width="15.5703125" customWidth="1"/>
    <col min="11009" max="11009" width="28.5703125" customWidth="1"/>
    <col min="11010" max="11013" width="15.5703125" customWidth="1"/>
    <col min="11265" max="11265" width="28.5703125" customWidth="1"/>
    <col min="11266" max="11269" width="15.5703125" customWidth="1"/>
    <col min="11521" max="11521" width="28.5703125" customWidth="1"/>
    <col min="11522" max="11525" width="15.5703125" customWidth="1"/>
    <col min="11777" max="11777" width="28.5703125" customWidth="1"/>
    <col min="11778" max="11781" width="15.5703125" customWidth="1"/>
    <col min="12033" max="12033" width="28.5703125" customWidth="1"/>
    <col min="12034" max="12037" width="15.5703125" customWidth="1"/>
    <col min="12289" max="12289" width="28.5703125" customWidth="1"/>
    <col min="12290" max="12293" width="15.5703125" customWidth="1"/>
    <col min="12545" max="12545" width="28.5703125" customWidth="1"/>
    <col min="12546" max="12549" width="15.5703125" customWidth="1"/>
    <col min="12801" max="12801" width="28.5703125" customWidth="1"/>
    <col min="12802" max="12805" width="15.5703125" customWidth="1"/>
    <col min="13057" max="13057" width="28.5703125" customWidth="1"/>
    <col min="13058" max="13061" width="15.5703125" customWidth="1"/>
    <col min="13313" max="13313" width="28.5703125" customWidth="1"/>
    <col min="13314" max="13317" width="15.5703125" customWidth="1"/>
    <col min="13569" max="13569" width="28.5703125" customWidth="1"/>
    <col min="13570" max="13573" width="15.5703125" customWidth="1"/>
    <col min="13825" max="13825" width="28.5703125" customWidth="1"/>
    <col min="13826" max="13829" width="15.5703125" customWidth="1"/>
    <col min="14081" max="14081" width="28.5703125" customWidth="1"/>
    <col min="14082" max="14085" width="15.5703125" customWidth="1"/>
    <col min="14337" max="14337" width="28.5703125" customWidth="1"/>
    <col min="14338" max="14341" width="15.5703125" customWidth="1"/>
    <col min="14593" max="14593" width="28.5703125" customWidth="1"/>
    <col min="14594" max="14597" width="15.5703125" customWidth="1"/>
    <col min="14849" max="14849" width="28.5703125" customWidth="1"/>
    <col min="14850" max="14853" width="15.5703125" customWidth="1"/>
    <col min="15105" max="15105" width="28.5703125" customWidth="1"/>
    <col min="15106" max="15109" width="15.5703125" customWidth="1"/>
    <col min="15361" max="15361" width="28.5703125" customWidth="1"/>
    <col min="15362" max="15365" width="15.5703125" customWidth="1"/>
    <col min="15617" max="15617" width="28.5703125" customWidth="1"/>
    <col min="15618" max="15621" width="15.5703125" customWidth="1"/>
    <col min="15873" max="15873" width="28.5703125" customWidth="1"/>
    <col min="15874" max="15877" width="15.5703125" customWidth="1"/>
    <col min="16129" max="16129" width="28.5703125" customWidth="1"/>
    <col min="16130" max="16133" width="15.5703125" customWidth="1"/>
  </cols>
  <sheetData>
    <row r="1" spans="1:14" s="117" customFormat="1" ht="14.25" x14ac:dyDescent="0.3">
      <c r="A1" s="117" t="s">
        <v>717</v>
      </c>
    </row>
    <row r="2" spans="1:14" s="119" customFormat="1" ht="18" x14ac:dyDescent="0.25">
      <c r="A2" s="1010" t="s">
        <v>420</v>
      </c>
      <c r="B2" s="1010"/>
      <c r="C2" s="1010"/>
      <c r="D2" s="1010"/>
      <c r="E2" s="1010"/>
      <c r="F2" s="118"/>
      <c r="G2" s="118"/>
      <c r="H2" s="118"/>
      <c r="I2" s="118"/>
      <c r="J2" s="118"/>
      <c r="K2" s="118"/>
      <c r="L2" s="118"/>
      <c r="M2" s="118"/>
      <c r="N2" s="118"/>
    </row>
    <row r="3" spans="1:14" s="121" customFormat="1" ht="30.75" customHeight="1" x14ac:dyDescent="0.25">
      <c r="A3" s="1009" t="s">
        <v>421</v>
      </c>
      <c r="B3" s="1009"/>
      <c r="C3" s="1009"/>
      <c r="D3" s="1009"/>
      <c r="E3" s="1009"/>
      <c r="F3" s="120"/>
      <c r="G3" s="120"/>
      <c r="H3" s="120"/>
      <c r="I3" s="120"/>
      <c r="J3" s="120"/>
      <c r="K3" s="120"/>
      <c r="L3" s="120"/>
      <c r="M3" s="120"/>
      <c r="N3" s="120"/>
    </row>
    <row r="4" spans="1:14" ht="37.5" customHeight="1" thickBot="1" x14ac:dyDescent="0.35">
      <c r="A4" s="862" t="s">
        <v>549</v>
      </c>
      <c r="B4" s="1006" t="s">
        <v>625</v>
      </c>
      <c r="C4" s="1007"/>
      <c r="D4" s="1007"/>
      <c r="E4" s="863" t="s">
        <v>422</v>
      </c>
    </row>
    <row r="5" spans="1:14" ht="15.75" thickBot="1" x14ac:dyDescent="0.3">
      <c r="A5" s="864" t="s">
        <v>423</v>
      </c>
      <c r="B5" s="865">
        <v>2019</v>
      </c>
      <c r="C5" s="865">
        <v>2020</v>
      </c>
      <c r="D5" s="865" t="s">
        <v>634</v>
      </c>
      <c r="E5" s="866" t="s">
        <v>414</v>
      </c>
    </row>
    <row r="6" spans="1:14" x14ac:dyDescent="0.25">
      <c r="A6" s="867" t="s">
        <v>424</v>
      </c>
      <c r="B6" s="868"/>
      <c r="C6" s="868"/>
      <c r="D6" s="868"/>
      <c r="E6" s="869">
        <f t="shared" ref="E6:E11" si="0">SUM(B6:D6)</f>
        <v>0</v>
      </c>
    </row>
    <row r="7" spans="1:14" x14ac:dyDescent="0.25">
      <c r="A7" s="870" t="s">
        <v>425</v>
      </c>
      <c r="B7" s="871"/>
      <c r="C7" s="871"/>
      <c r="D7" s="871"/>
      <c r="E7" s="872">
        <f t="shared" si="0"/>
        <v>0</v>
      </c>
    </row>
    <row r="8" spans="1:14" x14ac:dyDescent="0.25">
      <c r="A8" s="870" t="s">
        <v>426</v>
      </c>
      <c r="B8" s="871"/>
      <c r="C8" s="871"/>
      <c r="D8" s="871"/>
      <c r="E8" s="872">
        <f t="shared" si="0"/>
        <v>0</v>
      </c>
    </row>
    <row r="9" spans="1:14" x14ac:dyDescent="0.25">
      <c r="A9" s="870" t="s">
        <v>427</v>
      </c>
      <c r="B9" s="871"/>
      <c r="C9" s="871"/>
      <c r="D9" s="871"/>
      <c r="E9" s="872">
        <f t="shared" si="0"/>
        <v>0</v>
      </c>
    </row>
    <row r="10" spans="1:14" x14ac:dyDescent="0.25">
      <c r="A10" s="870" t="s">
        <v>428</v>
      </c>
      <c r="B10" s="871"/>
      <c r="C10" s="871"/>
      <c r="D10" s="871"/>
      <c r="E10" s="872">
        <f t="shared" si="0"/>
        <v>0</v>
      </c>
    </row>
    <row r="11" spans="1:14" ht="15.75" thickBot="1" x14ac:dyDescent="0.3">
      <c r="A11" s="873" t="s">
        <v>693</v>
      </c>
      <c r="B11" s="874">
        <v>63857</v>
      </c>
      <c r="C11" s="874"/>
      <c r="D11" s="874"/>
      <c r="E11" s="872">
        <f t="shared" si="0"/>
        <v>63857</v>
      </c>
    </row>
    <row r="12" spans="1:14" ht="15.75" thickBot="1" x14ac:dyDescent="0.3">
      <c r="A12" s="875" t="s">
        <v>423</v>
      </c>
      <c r="B12" s="876">
        <f>B6+SUM(B7:B11)</f>
        <v>63857</v>
      </c>
      <c r="C12" s="876">
        <f>C6+SUM(C7:C11)</f>
        <v>0</v>
      </c>
      <c r="D12" s="876">
        <f>D6+SUM(D7:D11)</f>
        <v>0</v>
      </c>
      <c r="E12" s="877">
        <f>E6+SUM(E7:E11)</f>
        <v>63857</v>
      </c>
    </row>
    <row r="13" spans="1:14" ht="15.75" thickBot="1" x14ac:dyDescent="0.3">
      <c r="A13" s="878"/>
      <c r="B13" s="878"/>
      <c r="C13" s="878"/>
      <c r="D13" s="878"/>
      <c r="E13" s="878"/>
    </row>
    <row r="14" spans="1:14" ht="15.75" thickBot="1" x14ac:dyDescent="0.3">
      <c r="A14" s="864" t="s">
        <v>429</v>
      </c>
      <c r="B14" s="865">
        <v>2019</v>
      </c>
      <c r="C14" s="865">
        <v>2020</v>
      </c>
      <c r="D14" s="865" t="s">
        <v>634</v>
      </c>
      <c r="E14" s="866" t="s">
        <v>414</v>
      </c>
    </row>
    <row r="15" spans="1:14" x14ac:dyDescent="0.25">
      <c r="A15" s="867" t="s">
        <v>430</v>
      </c>
      <c r="B15" s="868">
        <f>729+142</f>
        <v>871</v>
      </c>
      <c r="C15" s="868"/>
      <c r="D15" s="868"/>
      <c r="E15" s="869">
        <f t="shared" ref="E15:E21" si="1">SUM(B15:D15)</f>
        <v>871</v>
      </c>
    </row>
    <row r="16" spans="1:14" x14ac:dyDescent="0.25">
      <c r="A16" s="879" t="s">
        <v>431</v>
      </c>
      <c r="B16" s="871">
        <v>57479</v>
      </c>
      <c r="C16" s="871"/>
      <c r="D16" s="871"/>
      <c r="E16" s="872">
        <f t="shared" si="1"/>
        <v>57479</v>
      </c>
    </row>
    <row r="17" spans="1:5" x14ac:dyDescent="0.25">
      <c r="A17" s="870" t="s">
        <v>432</v>
      </c>
      <c r="B17" s="871">
        <v>5507</v>
      </c>
      <c r="C17" s="871"/>
      <c r="D17" s="871"/>
      <c r="E17" s="872">
        <f t="shared" si="1"/>
        <v>5507</v>
      </c>
    </row>
    <row r="18" spans="1:5" x14ac:dyDescent="0.25">
      <c r="A18" s="870" t="s">
        <v>433</v>
      </c>
      <c r="B18" s="871"/>
      <c r="C18" s="871"/>
      <c r="D18" s="871"/>
      <c r="E18" s="872">
        <f t="shared" si="1"/>
        <v>0</v>
      </c>
    </row>
    <row r="19" spans="1:5" x14ac:dyDescent="0.25">
      <c r="A19" s="880"/>
      <c r="B19" s="871"/>
      <c r="C19" s="871"/>
      <c r="D19" s="871"/>
      <c r="E19" s="872">
        <f t="shared" si="1"/>
        <v>0</v>
      </c>
    </row>
    <row r="20" spans="1:5" x14ac:dyDescent="0.25">
      <c r="A20" s="880"/>
      <c r="B20" s="871"/>
      <c r="C20" s="871"/>
      <c r="D20" s="871"/>
      <c r="E20" s="872">
        <f t="shared" si="1"/>
        <v>0</v>
      </c>
    </row>
    <row r="21" spans="1:5" ht="15.75" thickBot="1" x14ac:dyDescent="0.3">
      <c r="A21" s="873"/>
      <c r="B21" s="881"/>
      <c r="C21" s="881"/>
      <c r="D21" s="881"/>
      <c r="E21" s="882">
        <f t="shared" si="1"/>
        <v>0</v>
      </c>
    </row>
    <row r="22" spans="1:5" ht="15.75" thickBot="1" x14ac:dyDescent="0.3">
      <c r="A22" s="875" t="s">
        <v>434</v>
      </c>
      <c r="B22" s="876">
        <f>SUM(B15:B21)</f>
        <v>63857</v>
      </c>
      <c r="C22" s="876">
        <f>SUM(C15:C21)</f>
        <v>0</v>
      </c>
      <c r="D22" s="876">
        <f>SUM(D15:D21)</f>
        <v>0</v>
      </c>
      <c r="E22" s="877">
        <f>SUM(E15:E21)</f>
        <v>63857</v>
      </c>
    </row>
    <row r="23" spans="1:5" ht="15.75" x14ac:dyDescent="0.3">
      <c r="A23" s="883"/>
      <c r="B23" s="883"/>
      <c r="C23" s="883"/>
      <c r="D23" s="883"/>
      <c r="E23" s="883"/>
    </row>
    <row r="24" spans="1:5" x14ac:dyDescent="0.25">
      <c r="A24" s="1005" t="s">
        <v>633</v>
      </c>
      <c r="B24" s="1005"/>
      <c r="C24" s="1005"/>
      <c r="D24" s="1005"/>
      <c r="E24" s="1005"/>
    </row>
    <row r="25" spans="1:5" ht="16.5" thickBot="1" x14ac:dyDescent="0.35">
      <c r="A25" s="883"/>
      <c r="B25" s="883"/>
      <c r="C25" s="883"/>
      <c r="D25" s="883"/>
      <c r="E25" s="883"/>
    </row>
    <row r="26" spans="1:5" ht="16.5" thickBot="1" x14ac:dyDescent="0.35">
      <c r="A26" s="1018" t="s">
        <v>435</v>
      </c>
      <c r="B26" s="1018"/>
      <c r="C26" s="1018"/>
      <c r="D26" s="1017" t="s">
        <v>436</v>
      </c>
      <c r="E26" s="1017"/>
    </row>
    <row r="27" spans="1:5" ht="15.75" x14ac:dyDescent="0.3">
      <c r="A27" s="1016"/>
      <c r="B27" s="1016"/>
      <c r="C27" s="1016"/>
      <c r="D27" s="1015"/>
      <c r="E27" s="1015"/>
    </row>
    <row r="28" spans="1:5" ht="16.5" thickBot="1" x14ac:dyDescent="0.35">
      <c r="A28" s="1014"/>
      <c r="B28" s="1014"/>
      <c r="C28" s="1014"/>
      <c r="D28" s="1013"/>
      <c r="E28" s="1013"/>
    </row>
    <row r="29" spans="1:5" ht="16.5" thickBot="1" x14ac:dyDescent="0.35">
      <c r="A29" s="1012" t="s">
        <v>434</v>
      </c>
      <c r="B29" s="1012"/>
      <c r="C29" s="1012"/>
      <c r="D29" s="1011">
        <f>SUM(D27:E28)</f>
        <v>0</v>
      </c>
      <c r="E29" s="1011"/>
    </row>
    <row r="30" spans="1:5" ht="15.75" x14ac:dyDescent="0.3">
      <c r="A30" s="884"/>
      <c r="B30" s="884"/>
      <c r="C30" s="884"/>
      <c r="D30" s="885"/>
      <c r="E30" s="885"/>
    </row>
    <row r="31" spans="1:5" ht="15.75" x14ac:dyDescent="0.3">
      <c r="A31" s="117" t="s">
        <v>718</v>
      </c>
      <c r="B31" s="117"/>
      <c r="C31" s="117"/>
      <c r="D31" s="117"/>
      <c r="E31" s="117"/>
    </row>
    <row r="32" spans="1:5" ht="18" x14ac:dyDescent="0.25">
      <c r="A32" s="1010" t="s">
        <v>420</v>
      </c>
      <c r="B32" s="1010"/>
      <c r="C32" s="1010"/>
      <c r="D32" s="1010"/>
      <c r="E32" s="1010"/>
    </row>
    <row r="33" spans="1:5" x14ac:dyDescent="0.25">
      <c r="A33" s="1009" t="s">
        <v>421</v>
      </c>
      <c r="B33" s="1009"/>
      <c r="C33" s="1009"/>
      <c r="D33" s="1009"/>
      <c r="E33" s="1009"/>
    </row>
    <row r="34" spans="1:5" ht="37.5" customHeight="1" thickBot="1" x14ac:dyDescent="0.35">
      <c r="A34" s="862" t="s">
        <v>549</v>
      </c>
      <c r="B34" s="1006" t="s">
        <v>626</v>
      </c>
      <c r="C34" s="1007"/>
      <c r="D34" s="1007"/>
      <c r="E34" s="863" t="s">
        <v>422</v>
      </c>
    </row>
    <row r="35" spans="1:5" ht="15.75" thickBot="1" x14ac:dyDescent="0.3">
      <c r="A35" s="864" t="s">
        <v>423</v>
      </c>
      <c r="B35" s="865">
        <v>2019</v>
      </c>
      <c r="C35" s="865">
        <v>2020</v>
      </c>
      <c r="D35" s="865" t="s">
        <v>634</v>
      </c>
      <c r="E35" s="866" t="s">
        <v>414</v>
      </c>
    </row>
    <row r="36" spans="1:5" x14ac:dyDescent="0.25">
      <c r="A36" s="867" t="s">
        <v>424</v>
      </c>
      <c r="B36" s="868"/>
      <c r="C36" s="868"/>
      <c r="D36" s="868"/>
      <c r="E36" s="869">
        <f t="shared" ref="E36:E41" si="2">SUM(B36:D36)</f>
        <v>0</v>
      </c>
    </row>
    <row r="37" spans="1:5" x14ac:dyDescent="0.25">
      <c r="A37" s="870" t="s">
        <v>425</v>
      </c>
      <c r="B37" s="871"/>
      <c r="C37" s="871"/>
      <c r="D37" s="871"/>
      <c r="E37" s="872">
        <f t="shared" si="2"/>
        <v>0</v>
      </c>
    </row>
    <row r="38" spans="1:5" x14ac:dyDescent="0.25">
      <c r="A38" s="870" t="s">
        <v>426</v>
      </c>
      <c r="B38" s="871"/>
      <c r="C38" s="871"/>
      <c r="D38" s="871"/>
      <c r="E38" s="872">
        <f t="shared" si="2"/>
        <v>0</v>
      </c>
    </row>
    <row r="39" spans="1:5" x14ac:dyDescent="0.25">
      <c r="A39" s="870" t="s">
        <v>427</v>
      </c>
      <c r="B39" s="871"/>
      <c r="C39" s="871"/>
      <c r="D39" s="871"/>
      <c r="E39" s="872">
        <f t="shared" si="2"/>
        <v>0</v>
      </c>
    </row>
    <row r="40" spans="1:5" x14ac:dyDescent="0.25">
      <c r="A40" s="870" t="s">
        <v>428</v>
      </c>
      <c r="B40" s="871"/>
      <c r="C40" s="871"/>
      <c r="D40" s="871"/>
      <c r="E40" s="872">
        <f t="shared" si="2"/>
        <v>0</v>
      </c>
    </row>
    <row r="41" spans="1:5" ht="15.75" thickBot="1" x14ac:dyDescent="0.3">
      <c r="A41" s="873" t="s">
        <v>693</v>
      </c>
      <c r="B41" s="874">
        <v>102</v>
      </c>
      <c r="C41" s="874"/>
      <c r="D41" s="874"/>
      <c r="E41" s="872">
        <f t="shared" si="2"/>
        <v>102</v>
      </c>
    </row>
    <row r="42" spans="1:5" ht="15.75" thickBot="1" x14ac:dyDescent="0.3">
      <c r="A42" s="875" t="s">
        <v>423</v>
      </c>
      <c r="B42" s="876">
        <f>B36+SUM(B37:B41)</f>
        <v>102</v>
      </c>
      <c r="C42" s="876">
        <f>C36+SUM(C37:C41)</f>
        <v>0</v>
      </c>
      <c r="D42" s="876">
        <f>D36+SUM(D37:D41)</f>
        <v>0</v>
      </c>
      <c r="E42" s="877">
        <f>E36+SUM(E37:E41)</f>
        <v>102</v>
      </c>
    </row>
    <row r="43" spans="1:5" ht="15.75" thickBot="1" x14ac:dyDescent="0.3">
      <c r="A43" s="878"/>
      <c r="B43" s="878"/>
      <c r="C43" s="878"/>
      <c r="D43" s="878"/>
      <c r="E43" s="878"/>
    </row>
    <row r="44" spans="1:5" ht="15.75" thickBot="1" x14ac:dyDescent="0.3">
      <c r="A44" s="864" t="s">
        <v>429</v>
      </c>
      <c r="B44" s="865">
        <v>2019</v>
      </c>
      <c r="C44" s="865">
        <v>2020</v>
      </c>
      <c r="D44" s="865" t="s">
        <v>634</v>
      </c>
      <c r="E44" s="866" t="s">
        <v>414</v>
      </c>
    </row>
    <row r="45" spans="1:5" x14ac:dyDescent="0.25">
      <c r="A45" s="867" t="s">
        <v>430</v>
      </c>
      <c r="B45" s="868"/>
      <c r="C45" s="868"/>
      <c r="D45" s="868"/>
      <c r="E45" s="869">
        <f t="shared" ref="E45:E51" si="3">SUM(B45:D45)</f>
        <v>0</v>
      </c>
    </row>
    <row r="46" spans="1:5" x14ac:dyDescent="0.25">
      <c r="A46" s="879" t="s">
        <v>431</v>
      </c>
      <c r="B46" s="871"/>
      <c r="C46" s="871"/>
      <c r="D46" s="871"/>
      <c r="E46" s="872">
        <f t="shared" si="3"/>
        <v>0</v>
      </c>
    </row>
    <row r="47" spans="1:5" x14ac:dyDescent="0.25">
      <c r="A47" s="870" t="s">
        <v>432</v>
      </c>
      <c r="B47" s="871">
        <v>102</v>
      </c>
      <c r="C47" s="871"/>
      <c r="D47" s="871"/>
      <c r="E47" s="872">
        <f t="shared" si="3"/>
        <v>102</v>
      </c>
    </row>
    <row r="48" spans="1:5" x14ac:dyDescent="0.25">
      <c r="A48" s="870" t="s">
        <v>433</v>
      </c>
      <c r="B48" s="871"/>
      <c r="C48" s="871"/>
      <c r="D48" s="871"/>
      <c r="E48" s="872">
        <f t="shared" si="3"/>
        <v>0</v>
      </c>
    </row>
    <row r="49" spans="1:5" x14ac:dyDescent="0.25">
      <c r="A49" s="880"/>
      <c r="B49" s="871"/>
      <c r="C49" s="871"/>
      <c r="D49" s="871"/>
      <c r="E49" s="872">
        <f t="shared" si="3"/>
        <v>0</v>
      </c>
    </row>
    <row r="50" spans="1:5" x14ac:dyDescent="0.25">
      <c r="A50" s="880"/>
      <c r="B50" s="871"/>
      <c r="C50" s="871"/>
      <c r="D50" s="871"/>
      <c r="E50" s="872">
        <f t="shared" si="3"/>
        <v>0</v>
      </c>
    </row>
    <row r="51" spans="1:5" ht="15.75" thickBot="1" x14ac:dyDescent="0.3">
      <c r="A51" s="873"/>
      <c r="B51" s="881"/>
      <c r="C51" s="881"/>
      <c r="D51" s="881"/>
      <c r="E51" s="882">
        <f t="shared" si="3"/>
        <v>0</v>
      </c>
    </row>
    <row r="52" spans="1:5" ht="15.75" thickBot="1" x14ac:dyDescent="0.3">
      <c r="A52" s="875" t="s">
        <v>434</v>
      </c>
      <c r="B52" s="876">
        <f>SUM(B45:B51)</f>
        <v>102</v>
      </c>
      <c r="C52" s="876">
        <f>SUM(C45:C51)</f>
        <v>0</v>
      </c>
      <c r="D52" s="876">
        <f>SUM(D45:D51)</f>
        <v>0</v>
      </c>
      <c r="E52" s="877">
        <f>SUM(E45:E51)</f>
        <v>102</v>
      </c>
    </row>
    <row r="53" spans="1:5" ht="15.75" x14ac:dyDescent="0.3">
      <c r="A53" s="883"/>
      <c r="B53" s="883"/>
      <c r="C53" s="883"/>
      <c r="D53" s="883"/>
      <c r="E53" s="883"/>
    </row>
    <row r="54" spans="1:5" x14ac:dyDescent="0.25">
      <c r="A54" s="1005" t="s">
        <v>633</v>
      </c>
      <c r="B54" s="1005"/>
      <c r="C54" s="1005"/>
      <c r="D54" s="1005"/>
      <c r="E54" s="1005"/>
    </row>
    <row r="55" spans="1:5" ht="16.5" thickBot="1" x14ac:dyDescent="0.35">
      <c r="A55" s="883"/>
      <c r="B55" s="883"/>
      <c r="C55" s="883"/>
      <c r="D55" s="883"/>
      <c r="E55" s="883"/>
    </row>
    <row r="56" spans="1:5" ht="16.5" thickBot="1" x14ac:dyDescent="0.35">
      <c r="A56" s="1018" t="s">
        <v>435</v>
      </c>
      <c r="B56" s="1018"/>
      <c r="C56" s="1018"/>
      <c r="D56" s="1017" t="s">
        <v>436</v>
      </c>
      <c r="E56" s="1017"/>
    </row>
    <row r="57" spans="1:5" ht="15.75" x14ac:dyDescent="0.3">
      <c r="A57" s="1016"/>
      <c r="B57" s="1016"/>
      <c r="C57" s="1016"/>
      <c r="D57" s="1015"/>
      <c r="E57" s="1015"/>
    </row>
    <row r="58" spans="1:5" ht="16.5" thickBot="1" x14ac:dyDescent="0.35">
      <c r="A58" s="1014"/>
      <c r="B58" s="1014"/>
      <c r="C58" s="1014"/>
      <c r="D58" s="1013"/>
      <c r="E58" s="1013"/>
    </row>
    <row r="59" spans="1:5" ht="16.5" thickBot="1" x14ac:dyDescent="0.35">
      <c r="A59" s="1012" t="s">
        <v>434</v>
      </c>
      <c r="B59" s="1012"/>
      <c r="C59" s="1012"/>
      <c r="D59" s="1011">
        <f>SUM(D57:E58)</f>
        <v>0</v>
      </c>
      <c r="E59" s="1011"/>
    </row>
    <row r="61" spans="1:5" ht="15.75" x14ac:dyDescent="0.3">
      <c r="A61" s="117" t="s">
        <v>719</v>
      </c>
      <c r="B61" s="117"/>
      <c r="C61" s="117"/>
      <c r="D61" s="117"/>
      <c r="E61" s="117"/>
    </row>
    <row r="62" spans="1:5" ht="18" x14ac:dyDescent="0.25">
      <c r="A62" s="1010" t="s">
        <v>420</v>
      </c>
      <c r="B62" s="1010"/>
      <c r="C62" s="1010"/>
      <c r="D62" s="1010"/>
      <c r="E62" s="1010"/>
    </row>
    <row r="63" spans="1:5" x14ac:dyDescent="0.25">
      <c r="A63" s="1009" t="s">
        <v>421</v>
      </c>
      <c r="B63" s="1009"/>
      <c r="C63" s="1009"/>
      <c r="D63" s="1009"/>
      <c r="E63" s="1009"/>
    </row>
    <row r="64" spans="1:5" ht="37.5" customHeight="1" thickBot="1" x14ac:dyDescent="0.35">
      <c r="A64" s="862" t="s">
        <v>549</v>
      </c>
      <c r="B64" s="1006" t="s">
        <v>627</v>
      </c>
      <c r="C64" s="1007"/>
      <c r="D64" s="1007"/>
      <c r="E64" s="863" t="s">
        <v>422</v>
      </c>
    </row>
    <row r="65" spans="1:5" ht="15.75" thickBot="1" x14ac:dyDescent="0.3">
      <c r="A65" s="864" t="s">
        <v>423</v>
      </c>
      <c r="B65" s="865">
        <v>2019</v>
      </c>
      <c r="C65" s="865">
        <v>2020</v>
      </c>
      <c r="D65" s="865" t="s">
        <v>634</v>
      </c>
      <c r="E65" s="866" t="s">
        <v>414</v>
      </c>
    </row>
    <row r="66" spans="1:5" x14ac:dyDescent="0.25">
      <c r="A66" s="867" t="s">
        <v>424</v>
      </c>
      <c r="B66" s="868"/>
      <c r="C66" s="868"/>
      <c r="D66" s="868"/>
      <c r="E66" s="869">
        <f t="shared" ref="E66:E71" si="4">SUM(B66:D66)</f>
        <v>0</v>
      </c>
    </row>
    <row r="67" spans="1:5" x14ac:dyDescent="0.25">
      <c r="A67" s="870" t="s">
        <v>425</v>
      </c>
      <c r="B67" s="871"/>
      <c r="C67" s="871"/>
      <c r="D67" s="871"/>
      <c r="E67" s="872">
        <f t="shared" si="4"/>
        <v>0</v>
      </c>
    </row>
    <row r="68" spans="1:5" x14ac:dyDescent="0.25">
      <c r="A68" s="870" t="s">
        <v>426</v>
      </c>
      <c r="B68" s="871"/>
      <c r="C68" s="871"/>
      <c r="D68" s="871"/>
      <c r="E68" s="872">
        <f t="shared" si="4"/>
        <v>0</v>
      </c>
    </row>
    <row r="69" spans="1:5" x14ac:dyDescent="0.25">
      <c r="A69" s="870" t="s">
        <v>427</v>
      </c>
      <c r="B69" s="871"/>
      <c r="C69" s="871"/>
      <c r="D69" s="871"/>
      <c r="E69" s="872">
        <f t="shared" si="4"/>
        <v>0</v>
      </c>
    </row>
    <row r="70" spans="1:5" x14ac:dyDescent="0.25">
      <c r="A70" s="870" t="s">
        <v>428</v>
      </c>
      <c r="B70" s="871"/>
      <c r="C70" s="871"/>
      <c r="D70" s="871"/>
      <c r="E70" s="872">
        <f t="shared" si="4"/>
        <v>0</v>
      </c>
    </row>
    <row r="71" spans="1:5" ht="15.75" thickBot="1" x14ac:dyDescent="0.3">
      <c r="A71" s="873" t="s">
        <v>693</v>
      </c>
      <c r="B71" s="874">
        <v>54982</v>
      </c>
      <c r="C71" s="874"/>
      <c r="D71" s="874"/>
      <c r="E71" s="872">
        <f t="shared" si="4"/>
        <v>54982</v>
      </c>
    </row>
    <row r="72" spans="1:5" ht="15.75" thickBot="1" x14ac:dyDescent="0.3">
      <c r="A72" s="875" t="s">
        <v>423</v>
      </c>
      <c r="B72" s="876">
        <f>B66+SUM(B67:B71)</f>
        <v>54982</v>
      </c>
      <c r="C72" s="876">
        <f>C66+SUM(C67:C71)</f>
        <v>0</v>
      </c>
      <c r="D72" s="876">
        <f>D66+SUM(D67:D71)</f>
        <v>0</v>
      </c>
      <c r="E72" s="877">
        <f>E66+SUM(E67:E71)</f>
        <v>54982</v>
      </c>
    </row>
    <row r="73" spans="1:5" ht="15.75" thickBot="1" x14ac:dyDescent="0.3">
      <c r="A73" s="878"/>
      <c r="B73" s="878"/>
      <c r="C73" s="878"/>
      <c r="D73" s="878"/>
      <c r="E73" s="878"/>
    </row>
    <row r="74" spans="1:5" ht="15.75" thickBot="1" x14ac:dyDescent="0.3">
      <c r="A74" s="864" t="s">
        <v>429</v>
      </c>
      <c r="B74" s="865">
        <v>2019</v>
      </c>
      <c r="C74" s="865">
        <v>2020</v>
      </c>
      <c r="D74" s="865" t="s">
        <v>634</v>
      </c>
      <c r="E74" s="866" t="s">
        <v>414</v>
      </c>
    </row>
    <row r="75" spans="1:5" x14ac:dyDescent="0.25">
      <c r="A75" s="867" t="s">
        <v>430</v>
      </c>
      <c r="B75" s="868">
        <f>19259+3756</f>
        <v>23015</v>
      </c>
      <c r="C75" s="868"/>
      <c r="D75" s="868"/>
      <c r="E75" s="869">
        <f t="shared" ref="E75:E81" si="5">SUM(B75:D75)</f>
        <v>23015</v>
      </c>
    </row>
    <row r="76" spans="1:5" x14ac:dyDescent="0.25">
      <c r="A76" s="879" t="s">
        <v>431</v>
      </c>
      <c r="B76" s="871"/>
      <c r="C76" s="871"/>
      <c r="D76" s="871"/>
      <c r="E76" s="872">
        <f t="shared" si="5"/>
        <v>0</v>
      </c>
    </row>
    <row r="77" spans="1:5" x14ac:dyDescent="0.25">
      <c r="A77" s="870" t="s">
        <v>432</v>
      </c>
      <c r="B77" s="871">
        <v>10000</v>
      </c>
      <c r="C77" s="871">
        <v>21967</v>
      </c>
      <c r="D77" s="871"/>
      <c r="E77" s="872">
        <f t="shared" si="5"/>
        <v>31967</v>
      </c>
    </row>
    <row r="78" spans="1:5" x14ac:dyDescent="0.25">
      <c r="A78" s="870" t="s">
        <v>433</v>
      </c>
      <c r="B78" s="871"/>
      <c r="C78" s="871"/>
      <c r="D78" s="871"/>
      <c r="E78" s="872">
        <f t="shared" si="5"/>
        <v>0</v>
      </c>
    </row>
    <row r="79" spans="1:5" x14ac:dyDescent="0.25">
      <c r="A79" s="880"/>
      <c r="B79" s="871"/>
      <c r="C79" s="871"/>
      <c r="D79" s="871"/>
      <c r="E79" s="872">
        <f t="shared" si="5"/>
        <v>0</v>
      </c>
    </row>
    <row r="80" spans="1:5" x14ac:dyDescent="0.25">
      <c r="A80" s="880"/>
      <c r="B80" s="871"/>
      <c r="C80" s="871"/>
      <c r="D80" s="871"/>
      <c r="E80" s="872">
        <f t="shared" si="5"/>
        <v>0</v>
      </c>
    </row>
    <row r="81" spans="1:5" ht="15.75" thickBot="1" x14ac:dyDescent="0.3">
      <c r="A81" s="873"/>
      <c r="B81" s="881"/>
      <c r="C81" s="881"/>
      <c r="D81" s="881"/>
      <c r="E81" s="882">
        <f t="shared" si="5"/>
        <v>0</v>
      </c>
    </row>
    <row r="82" spans="1:5" ht="15.75" thickBot="1" x14ac:dyDescent="0.3">
      <c r="A82" s="875" t="s">
        <v>434</v>
      </c>
      <c r="B82" s="876">
        <f>SUM(B75:B81)</f>
        <v>33015</v>
      </c>
      <c r="C82" s="876">
        <f>SUM(C75:C81)</f>
        <v>21967</v>
      </c>
      <c r="D82" s="876">
        <f>SUM(D75:D81)</f>
        <v>0</v>
      </c>
      <c r="E82" s="877">
        <f>SUM(E75:E81)</f>
        <v>54982</v>
      </c>
    </row>
    <row r="83" spans="1:5" ht="15.75" x14ac:dyDescent="0.3">
      <c r="A83" s="883"/>
      <c r="B83" s="883"/>
      <c r="C83" s="883"/>
      <c r="D83" s="883"/>
      <c r="E83" s="883"/>
    </row>
    <row r="84" spans="1:5" x14ac:dyDescent="0.25">
      <c r="A84" s="1005" t="s">
        <v>633</v>
      </c>
      <c r="B84" s="1005"/>
      <c r="C84" s="1005"/>
      <c r="D84" s="1005"/>
      <c r="E84" s="1005"/>
    </row>
    <row r="85" spans="1:5" ht="16.5" thickBot="1" x14ac:dyDescent="0.35">
      <c r="A85" s="883"/>
      <c r="B85" s="883"/>
      <c r="C85" s="883"/>
      <c r="D85" s="883"/>
      <c r="E85" s="883"/>
    </row>
    <row r="86" spans="1:5" ht="16.5" thickBot="1" x14ac:dyDescent="0.35">
      <c r="A86" s="1018" t="s">
        <v>435</v>
      </c>
      <c r="B86" s="1018"/>
      <c r="C86" s="1018"/>
      <c r="D86" s="1017" t="s">
        <v>436</v>
      </c>
      <c r="E86" s="1017"/>
    </row>
    <row r="87" spans="1:5" ht="15.75" x14ac:dyDescent="0.3">
      <c r="A87" s="1016"/>
      <c r="B87" s="1016"/>
      <c r="C87" s="1016"/>
      <c r="D87" s="1015"/>
      <c r="E87" s="1015"/>
    </row>
    <row r="88" spans="1:5" ht="16.5" thickBot="1" x14ac:dyDescent="0.35">
      <c r="A88" s="1014"/>
      <c r="B88" s="1014"/>
      <c r="C88" s="1014"/>
      <c r="D88" s="1013"/>
      <c r="E88" s="1013"/>
    </row>
    <row r="89" spans="1:5" ht="16.5" thickBot="1" x14ac:dyDescent="0.35">
      <c r="A89" s="1012" t="s">
        <v>434</v>
      </c>
      <c r="B89" s="1012"/>
      <c r="C89" s="1012"/>
      <c r="D89" s="1011">
        <f>SUM(D87:E88)</f>
        <v>0</v>
      </c>
      <c r="E89" s="1011"/>
    </row>
    <row r="90" spans="1:5" ht="15.75" x14ac:dyDescent="0.3">
      <c r="A90" s="884"/>
      <c r="B90" s="884"/>
      <c r="C90" s="884"/>
      <c r="D90" s="885"/>
      <c r="E90" s="885"/>
    </row>
    <row r="91" spans="1:5" ht="15.75" x14ac:dyDescent="0.3">
      <c r="A91" s="117" t="s">
        <v>720</v>
      </c>
      <c r="B91" s="117"/>
      <c r="C91" s="117"/>
      <c r="D91" s="117"/>
      <c r="E91" s="117"/>
    </row>
    <row r="92" spans="1:5" ht="18" x14ac:dyDescent="0.25">
      <c r="A92" s="1010" t="s">
        <v>420</v>
      </c>
      <c r="B92" s="1010"/>
      <c r="C92" s="1010"/>
      <c r="D92" s="1010"/>
      <c r="E92" s="1010"/>
    </row>
    <row r="93" spans="1:5" x14ac:dyDescent="0.25">
      <c r="A93" s="1009" t="s">
        <v>421</v>
      </c>
      <c r="B93" s="1009"/>
      <c r="C93" s="1009"/>
      <c r="D93" s="1009"/>
      <c r="E93" s="1009"/>
    </row>
    <row r="94" spans="1:5" ht="36.75" customHeight="1" thickBot="1" x14ac:dyDescent="0.35">
      <c r="A94" s="862" t="s">
        <v>549</v>
      </c>
      <c r="B94" s="1006" t="s">
        <v>628</v>
      </c>
      <c r="C94" s="1007"/>
      <c r="D94" s="1007"/>
      <c r="E94" s="863" t="s">
        <v>422</v>
      </c>
    </row>
    <row r="95" spans="1:5" ht="15.75" thickBot="1" x14ac:dyDescent="0.3">
      <c r="A95" s="864" t="s">
        <v>423</v>
      </c>
      <c r="B95" s="865">
        <v>2019</v>
      </c>
      <c r="C95" s="865">
        <v>2020</v>
      </c>
      <c r="D95" s="865" t="s">
        <v>634</v>
      </c>
      <c r="E95" s="866" t="s">
        <v>414</v>
      </c>
    </row>
    <row r="96" spans="1:5" x14ac:dyDescent="0.25">
      <c r="A96" s="867" t="s">
        <v>424</v>
      </c>
      <c r="B96" s="868"/>
      <c r="C96" s="868"/>
      <c r="D96" s="868"/>
      <c r="E96" s="869">
        <f t="shared" ref="E96:E101" si="6">SUM(B96:D96)</f>
        <v>0</v>
      </c>
    </row>
    <row r="97" spans="1:5" x14ac:dyDescent="0.25">
      <c r="A97" s="870" t="s">
        <v>425</v>
      </c>
      <c r="B97" s="871"/>
      <c r="C97" s="871"/>
      <c r="D97" s="871"/>
      <c r="E97" s="872">
        <f t="shared" si="6"/>
        <v>0</v>
      </c>
    </row>
    <row r="98" spans="1:5" x14ac:dyDescent="0.25">
      <c r="A98" s="870" t="s">
        <v>426</v>
      </c>
      <c r="B98" s="871"/>
      <c r="C98" s="871"/>
      <c r="D98" s="871"/>
      <c r="E98" s="872">
        <f t="shared" si="6"/>
        <v>0</v>
      </c>
    </row>
    <row r="99" spans="1:5" x14ac:dyDescent="0.25">
      <c r="A99" s="870" t="s">
        <v>427</v>
      </c>
      <c r="B99" s="871"/>
      <c r="C99" s="871"/>
      <c r="D99" s="871"/>
      <c r="E99" s="872">
        <f t="shared" si="6"/>
        <v>0</v>
      </c>
    </row>
    <row r="100" spans="1:5" x14ac:dyDescent="0.25">
      <c r="A100" s="870" t="s">
        <v>428</v>
      </c>
      <c r="B100" s="871"/>
      <c r="C100" s="871"/>
      <c r="D100" s="871"/>
      <c r="E100" s="872">
        <f t="shared" si="6"/>
        <v>0</v>
      </c>
    </row>
    <row r="101" spans="1:5" ht="15.75" thickBot="1" x14ac:dyDescent="0.3">
      <c r="A101" s="873" t="s">
        <v>693</v>
      </c>
      <c r="B101" s="874">
        <v>957307</v>
      </c>
      <c r="C101" s="874"/>
      <c r="D101" s="874"/>
      <c r="E101" s="872">
        <f t="shared" si="6"/>
        <v>957307</v>
      </c>
    </row>
    <row r="102" spans="1:5" ht="15.75" thickBot="1" x14ac:dyDescent="0.3">
      <c r="A102" s="875" t="s">
        <v>423</v>
      </c>
      <c r="B102" s="876">
        <f>B96+SUM(B97:B101)</f>
        <v>957307</v>
      </c>
      <c r="C102" s="876">
        <f>C96+SUM(C97:C101)</f>
        <v>0</v>
      </c>
      <c r="D102" s="876">
        <f>D96+SUM(D97:D101)</f>
        <v>0</v>
      </c>
      <c r="E102" s="877">
        <f>E96+SUM(E97:E101)</f>
        <v>957307</v>
      </c>
    </row>
    <row r="103" spans="1:5" ht="15.75" thickBot="1" x14ac:dyDescent="0.3">
      <c r="A103" s="878"/>
      <c r="B103" s="878"/>
      <c r="C103" s="878"/>
      <c r="D103" s="878"/>
      <c r="E103" s="878"/>
    </row>
    <row r="104" spans="1:5" ht="15.75" thickBot="1" x14ac:dyDescent="0.3">
      <c r="A104" s="864" t="s">
        <v>429</v>
      </c>
      <c r="B104" s="865">
        <v>2019</v>
      </c>
      <c r="C104" s="865">
        <v>2020</v>
      </c>
      <c r="D104" s="865" t="s">
        <v>634</v>
      </c>
      <c r="E104" s="866" t="s">
        <v>414</v>
      </c>
    </row>
    <row r="105" spans="1:5" x14ac:dyDescent="0.25">
      <c r="A105" s="867" t="s">
        <v>430</v>
      </c>
      <c r="B105" s="868">
        <f>13651+2662</f>
        <v>16313</v>
      </c>
      <c r="C105" s="868"/>
      <c r="D105" s="868"/>
      <c r="E105" s="869">
        <f t="shared" ref="E105:E111" si="7">SUM(B105:D105)</f>
        <v>16313</v>
      </c>
    </row>
    <row r="106" spans="1:5" x14ac:dyDescent="0.25">
      <c r="A106" s="879" t="s">
        <v>431</v>
      </c>
      <c r="B106" s="871">
        <v>882070</v>
      </c>
      <c r="C106" s="871"/>
      <c r="D106" s="871"/>
      <c r="E106" s="872">
        <f t="shared" si="7"/>
        <v>882070</v>
      </c>
    </row>
    <row r="107" spans="1:5" x14ac:dyDescent="0.25">
      <c r="A107" s="870" t="s">
        <v>432</v>
      </c>
      <c r="B107" s="871">
        <v>58924</v>
      </c>
      <c r="C107" s="871"/>
      <c r="D107" s="871"/>
      <c r="E107" s="872">
        <f t="shared" si="7"/>
        <v>58924</v>
      </c>
    </row>
    <row r="108" spans="1:5" x14ac:dyDescent="0.25">
      <c r="A108" s="870" t="s">
        <v>210</v>
      </c>
      <c r="B108" s="871"/>
      <c r="C108" s="871"/>
      <c r="D108" s="871"/>
      <c r="E108" s="872">
        <f t="shared" si="7"/>
        <v>0</v>
      </c>
    </row>
    <row r="109" spans="1:5" x14ac:dyDescent="0.25">
      <c r="A109" s="880"/>
      <c r="B109" s="718"/>
      <c r="C109" s="871"/>
      <c r="D109" s="871"/>
      <c r="E109" s="872">
        <f t="shared" si="7"/>
        <v>0</v>
      </c>
    </row>
    <row r="110" spans="1:5" x14ac:dyDescent="0.25">
      <c r="A110" s="880"/>
      <c r="B110" s="871"/>
      <c r="C110" s="871"/>
      <c r="D110" s="871"/>
      <c r="E110" s="872">
        <f t="shared" si="7"/>
        <v>0</v>
      </c>
    </row>
    <row r="111" spans="1:5" ht="15.75" thickBot="1" x14ac:dyDescent="0.3">
      <c r="A111" s="873"/>
      <c r="B111" s="881"/>
      <c r="C111" s="881"/>
      <c r="D111" s="881"/>
      <c r="E111" s="882">
        <f t="shared" si="7"/>
        <v>0</v>
      </c>
    </row>
    <row r="112" spans="1:5" ht="15.75" thickBot="1" x14ac:dyDescent="0.3">
      <c r="A112" s="875" t="s">
        <v>434</v>
      </c>
      <c r="B112" s="876">
        <f>SUM(B105:B111)</f>
        <v>957307</v>
      </c>
      <c r="C112" s="876">
        <f>SUM(C105:C111)</f>
        <v>0</v>
      </c>
      <c r="D112" s="876">
        <f>SUM(D105:D111)</f>
        <v>0</v>
      </c>
      <c r="E112" s="877">
        <f>SUM(E105:E111)</f>
        <v>957307</v>
      </c>
    </row>
    <row r="113" spans="1:5" ht="15.75" x14ac:dyDescent="0.3">
      <c r="A113" s="883"/>
      <c r="B113" s="883"/>
      <c r="C113" s="883"/>
      <c r="D113" s="883"/>
      <c r="E113" s="883"/>
    </row>
    <row r="114" spans="1:5" x14ac:dyDescent="0.25">
      <c r="A114" s="1005" t="s">
        <v>633</v>
      </c>
      <c r="B114" s="1005"/>
      <c r="C114" s="1005"/>
      <c r="D114" s="1005"/>
      <c r="E114" s="1005"/>
    </row>
    <row r="115" spans="1:5" ht="16.5" thickBot="1" x14ac:dyDescent="0.35">
      <c r="A115" s="883"/>
      <c r="B115" s="883"/>
      <c r="C115" s="883"/>
      <c r="D115" s="883"/>
      <c r="E115" s="883"/>
    </row>
    <row r="116" spans="1:5" ht="16.5" thickBot="1" x14ac:dyDescent="0.35">
      <c r="A116" s="1018" t="s">
        <v>435</v>
      </c>
      <c r="B116" s="1018"/>
      <c r="C116" s="1018"/>
      <c r="D116" s="1017" t="s">
        <v>436</v>
      </c>
      <c r="E116" s="1017"/>
    </row>
    <row r="117" spans="1:5" ht="15.75" x14ac:dyDescent="0.3">
      <c r="A117" s="1016"/>
      <c r="B117" s="1016"/>
      <c r="C117" s="1016"/>
      <c r="D117" s="1015"/>
      <c r="E117" s="1015"/>
    </row>
    <row r="118" spans="1:5" ht="16.5" thickBot="1" x14ac:dyDescent="0.35">
      <c r="A118" s="1014"/>
      <c r="B118" s="1014"/>
      <c r="C118" s="1014"/>
      <c r="D118" s="1013"/>
      <c r="E118" s="1013"/>
    </row>
    <row r="119" spans="1:5" ht="16.5" thickBot="1" x14ac:dyDescent="0.35">
      <c r="A119" s="1012" t="s">
        <v>434</v>
      </c>
      <c r="B119" s="1012"/>
      <c r="C119" s="1012"/>
      <c r="D119" s="1011">
        <f>SUM(D117:E118)</f>
        <v>0</v>
      </c>
      <c r="E119" s="1011"/>
    </row>
    <row r="120" spans="1:5" ht="15.75" x14ac:dyDescent="0.3">
      <c r="A120" s="884"/>
      <c r="B120" s="884"/>
      <c r="C120" s="884"/>
      <c r="D120" s="885"/>
      <c r="E120" s="885"/>
    </row>
    <row r="121" spans="1:5" ht="15.75" x14ac:dyDescent="0.3">
      <c r="A121" s="117" t="s">
        <v>721</v>
      </c>
      <c r="B121" s="117"/>
      <c r="C121" s="117"/>
      <c r="D121" s="117"/>
      <c r="E121" s="117"/>
    </row>
    <row r="122" spans="1:5" ht="18" x14ac:dyDescent="0.25">
      <c r="A122" s="1010" t="s">
        <v>420</v>
      </c>
      <c r="B122" s="1010"/>
      <c r="C122" s="1010"/>
      <c r="D122" s="1010"/>
      <c r="E122" s="1010"/>
    </row>
    <row r="123" spans="1:5" x14ac:dyDescent="0.25">
      <c r="A123" s="1009" t="s">
        <v>421</v>
      </c>
      <c r="B123" s="1009"/>
      <c r="C123" s="1009"/>
      <c r="D123" s="1009"/>
      <c r="E123" s="1009"/>
    </row>
    <row r="124" spans="1:5" ht="37.5" customHeight="1" thickBot="1" x14ac:dyDescent="0.35">
      <c r="A124" s="862" t="s">
        <v>549</v>
      </c>
      <c r="B124" s="1006" t="s">
        <v>629</v>
      </c>
      <c r="C124" s="1007"/>
      <c r="D124" s="1007"/>
      <c r="E124" s="863" t="s">
        <v>422</v>
      </c>
    </row>
    <row r="125" spans="1:5" ht="15.75" thickBot="1" x14ac:dyDescent="0.3">
      <c r="A125" s="864" t="s">
        <v>423</v>
      </c>
      <c r="B125" s="865">
        <v>2019</v>
      </c>
      <c r="C125" s="865">
        <v>2020</v>
      </c>
      <c r="D125" s="865" t="s">
        <v>634</v>
      </c>
      <c r="E125" s="866" t="s">
        <v>414</v>
      </c>
    </row>
    <row r="126" spans="1:5" x14ac:dyDescent="0.25">
      <c r="A126" s="867" t="s">
        <v>424</v>
      </c>
      <c r="B126" s="868"/>
      <c r="C126" s="868"/>
      <c r="D126" s="868"/>
      <c r="E126" s="869">
        <f t="shared" ref="E126:E131" si="8">SUM(B126:D126)</f>
        <v>0</v>
      </c>
    </row>
    <row r="127" spans="1:5" x14ac:dyDescent="0.25">
      <c r="A127" s="870" t="s">
        <v>425</v>
      </c>
      <c r="B127" s="871"/>
      <c r="C127" s="871"/>
      <c r="D127" s="871"/>
      <c r="E127" s="872">
        <f t="shared" si="8"/>
        <v>0</v>
      </c>
    </row>
    <row r="128" spans="1:5" x14ac:dyDescent="0.25">
      <c r="A128" s="870" t="s">
        <v>426</v>
      </c>
      <c r="B128" s="871"/>
      <c r="C128" s="871"/>
      <c r="D128" s="871"/>
      <c r="E128" s="872">
        <f t="shared" si="8"/>
        <v>0</v>
      </c>
    </row>
    <row r="129" spans="1:5" x14ac:dyDescent="0.25">
      <c r="A129" s="870" t="s">
        <v>427</v>
      </c>
      <c r="B129" s="871"/>
      <c r="C129" s="871"/>
      <c r="D129" s="871"/>
      <c r="E129" s="872">
        <f t="shared" si="8"/>
        <v>0</v>
      </c>
    </row>
    <row r="130" spans="1:5" x14ac:dyDescent="0.25">
      <c r="A130" s="870" t="s">
        <v>428</v>
      </c>
      <c r="B130" s="871"/>
      <c r="C130" s="871"/>
      <c r="D130" s="871"/>
      <c r="E130" s="872">
        <f t="shared" si="8"/>
        <v>0</v>
      </c>
    </row>
    <row r="131" spans="1:5" ht="15.75" thickBot="1" x14ac:dyDescent="0.3">
      <c r="A131" s="873" t="s">
        <v>693</v>
      </c>
      <c r="B131" s="874">
        <v>238129</v>
      </c>
      <c r="C131" s="874"/>
      <c r="D131" s="874"/>
      <c r="E131" s="872">
        <f t="shared" si="8"/>
        <v>238129</v>
      </c>
    </row>
    <row r="132" spans="1:5" ht="15.75" thickBot="1" x14ac:dyDescent="0.3">
      <c r="A132" s="875" t="s">
        <v>423</v>
      </c>
      <c r="B132" s="876">
        <f>B126+SUM(B127:B131)</f>
        <v>238129</v>
      </c>
      <c r="C132" s="876">
        <f>C126+SUM(C127:C131)</f>
        <v>0</v>
      </c>
      <c r="D132" s="876">
        <f>D126+SUM(D127:D131)</f>
        <v>0</v>
      </c>
      <c r="E132" s="877">
        <f>E126+SUM(E127:E131)</f>
        <v>238129</v>
      </c>
    </row>
    <row r="133" spans="1:5" ht="15.75" thickBot="1" x14ac:dyDescent="0.3">
      <c r="A133" s="878"/>
      <c r="B133" s="878"/>
      <c r="C133" s="878"/>
      <c r="D133" s="878"/>
      <c r="E133" s="878"/>
    </row>
    <row r="134" spans="1:5" ht="15.75" thickBot="1" x14ac:dyDescent="0.3">
      <c r="A134" s="864" t="s">
        <v>429</v>
      </c>
      <c r="B134" s="865">
        <v>2019</v>
      </c>
      <c r="C134" s="865">
        <v>2020</v>
      </c>
      <c r="D134" s="865" t="s">
        <v>634</v>
      </c>
      <c r="E134" s="866" t="s">
        <v>414</v>
      </c>
    </row>
    <row r="135" spans="1:5" x14ac:dyDescent="0.25">
      <c r="A135" s="867" t="s">
        <v>430</v>
      </c>
      <c r="B135" s="868">
        <f>5230+1020</f>
        <v>6250</v>
      </c>
      <c r="C135" s="868"/>
      <c r="D135" s="868"/>
      <c r="E135" s="869">
        <f t="shared" ref="E135:E141" si="9">SUM(B135:D135)</f>
        <v>6250</v>
      </c>
    </row>
    <row r="136" spans="1:5" x14ac:dyDescent="0.25">
      <c r="A136" s="879" t="s">
        <v>431</v>
      </c>
      <c r="B136" s="871">
        <v>215584</v>
      </c>
      <c r="C136" s="871"/>
      <c r="D136" s="871"/>
      <c r="E136" s="872">
        <f t="shared" si="9"/>
        <v>215584</v>
      </c>
    </row>
    <row r="137" spans="1:5" x14ac:dyDescent="0.25">
      <c r="A137" s="870" t="s">
        <v>432</v>
      </c>
      <c r="B137" s="871">
        <v>16295</v>
      </c>
      <c r="C137" s="871"/>
      <c r="D137" s="871"/>
      <c r="E137" s="872">
        <f t="shared" si="9"/>
        <v>16295</v>
      </c>
    </row>
    <row r="138" spans="1:5" x14ac:dyDescent="0.25">
      <c r="A138" s="870" t="s">
        <v>433</v>
      </c>
      <c r="B138" s="871"/>
      <c r="C138" s="871"/>
      <c r="D138" s="871"/>
      <c r="E138" s="872">
        <f t="shared" si="9"/>
        <v>0</v>
      </c>
    </row>
    <row r="139" spans="1:5" x14ac:dyDescent="0.25">
      <c r="A139" s="880"/>
      <c r="B139" s="718"/>
      <c r="C139" s="871"/>
      <c r="D139" s="871"/>
      <c r="E139" s="872">
        <f t="shared" si="9"/>
        <v>0</v>
      </c>
    </row>
    <row r="140" spans="1:5" x14ac:dyDescent="0.25">
      <c r="A140" s="880"/>
      <c r="B140" s="871"/>
      <c r="C140" s="871"/>
      <c r="D140" s="871"/>
      <c r="E140" s="872">
        <f t="shared" si="9"/>
        <v>0</v>
      </c>
    </row>
    <row r="141" spans="1:5" ht="15.75" thickBot="1" x14ac:dyDescent="0.3">
      <c r="A141" s="873"/>
      <c r="B141" s="881"/>
      <c r="C141" s="881"/>
      <c r="D141" s="881"/>
      <c r="E141" s="882">
        <f t="shared" si="9"/>
        <v>0</v>
      </c>
    </row>
    <row r="142" spans="1:5" ht="15.75" thickBot="1" x14ac:dyDescent="0.3">
      <c r="A142" s="875" t="s">
        <v>434</v>
      </c>
      <c r="B142" s="876">
        <f>SUM(B135:B141)</f>
        <v>238129</v>
      </c>
      <c r="C142" s="876">
        <f>SUM(C135:C141)</f>
        <v>0</v>
      </c>
      <c r="D142" s="876">
        <f>SUM(D135:D141)</f>
        <v>0</v>
      </c>
      <c r="E142" s="877">
        <f>SUM(E135:E141)</f>
        <v>238129</v>
      </c>
    </row>
    <row r="143" spans="1:5" ht="15.75" x14ac:dyDescent="0.3">
      <c r="A143" s="883"/>
      <c r="B143" s="883"/>
      <c r="C143" s="883"/>
      <c r="D143" s="883"/>
      <c r="E143" s="883"/>
    </row>
    <row r="144" spans="1:5" x14ac:dyDescent="0.25">
      <c r="A144" s="1005" t="s">
        <v>633</v>
      </c>
      <c r="B144" s="1005"/>
      <c r="C144" s="1005"/>
      <c r="D144" s="1005"/>
      <c r="E144" s="1005"/>
    </row>
    <row r="145" spans="1:5" ht="16.5" thickBot="1" x14ac:dyDescent="0.35">
      <c r="A145" s="883"/>
      <c r="B145" s="883"/>
      <c r="C145" s="883"/>
      <c r="D145" s="883"/>
      <c r="E145" s="883"/>
    </row>
    <row r="146" spans="1:5" ht="16.5" thickBot="1" x14ac:dyDescent="0.35">
      <c r="A146" s="1018" t="s">
        <v>435</v>
      </c>
      <c r="B146" s="1018"/>
      <c r="C146" s="1018"/>
      <c r="D146" s="1017" t="s">
        <v>436</v>
      </c>
      <c r="E146" s="1017"/>
    </row>
    <row r="147" spans="1:5" ht="15.75" x14ac:dyDescent="0.3">
      <c r="A147" s="1016"/>
      <c r="B147" s="1016"/>
      <c r="C147" s="1016"/>
      <c r="D147" s="1015"/>
      <c r="E147" s="1015"/>
    </row>
    <row r="148" spans="1:5" ht="16.5" thickBot="1" x14ac:dyDescent="0.35">
      <c r="A148" s="1014"/>
      <c r="B148" s="1014"/>
      <c r="C148" s="1014"/>
      <c r="D148" s="1013"/>
      <c r="E148" s="1013"/>
    </row>
    <row r="149" spans="1:5" ht="16.5" thickBot="1" x14ac:dyDescent="0.35">
      <c r="A149" s="1012" t="s">
        <v>434</v>
      </c>
      <c r="B149" s="1012"/>
      <c r="C149" s="1012"/>
      <c r="D149" s="1011">
        <f>SUM(D147:E148)</f>
        <v>0</v>
      </c>
      <c r="E149" s="1011"/>
    </row>
    <row r="150" spans="1:5" ht="15.75" x14ac:dyDescent="0.3">
      <c r="A150" s="117" t="s">
        <v>722</v>
      </c>
      <c r="B150" s="117"/>
      <c r="C150" s="117"/>
      <c r="D150" s="117"/>
      <c r="E150" s="117"/>
    </row>
    <row r="151" spans="1:5" ht="18" x14ac:dyDescent="0.25">
      <c r="A151" s="1010" t="s">
        <v>420</v>
      </c>
      <c r="B151" s="1010"/>
      <c r="C151" s="1010"/>
      <c r="D151" s="1010"/>
      <c r="E151" s="1010"/>
    </row>
    <row r="152" spans="1:5" x14ac:dyDescent="0.25">
      <c r="A152" s="1009" t="s">
        <v>421</v>
      </c>
      <c r="B152" s="1009"/>
      <c r="C152" s="1009"/>
      <c r="D152" s="1009"/>
      <c r="E152" s="1009"/>
    </row>
    <row r="153" spans="1:5" ht="37.5" customHeight="1" thickBot="1" x14ac:dyDescent="0.35">
      <c r="A153" s="862" t="s">
        <v>549</v>
      </c>
      <c r="B153" s="1006" t="s">
        <v>630</v>
      </c>
      <c r="C153" s="1007"/>
      <c r="D153" s="1007"/>
      <c r="E153" s="863" t="s">
        <v>422</v>
      </c>
    </row>
    <row r="154" spans="1:5" ht="15.75" thickBot="1" x14ac:dyDescent="0.3">
      <c r="A154" s="864" t="s">
        <v>423</v>
      </c>
      <c r="B154" s="865">
        <v>2019</v>
      </c>
      <c r="C154" s="865">
        <v>2020</v>
      </c>
      <c r="D154" s="865" t="s">
        <v>634</v>
      </c>
      <c r="E154" s="866" t="s">
        <v>414</v>
      </c>
    </row>
    <row r="155" spans="1:5" x14ac:dyDescent="0.25">
      <c r="A155" s="867" t="s">
        <v>424</v>
      </c>
      <c r="B155" s="868"/>
      <c r="C155" s="868"/>
      <c r="D155" s="868"/>
      <c r="E155" s="869">
        <f t="shared" ref="E155:E160" si="10">SUM(B155:D155)</f>
        <v>0</v>
      </c>
    </row>
    <row r="156" spans="1:5" x14ac:dyDescent="0.25">
      <c r="A156" s="870" t="s">
        <v>425</v>
      </c>
      <c r="B156" s="871"/>
      <c r="C156" s="871"/>
      <c r="D156" s="871"/>
      <c r="E156" s="872">
        <f t="shared" si="10"/>
        <v>0</v>
      </c>
    </row>
    <row r="157" spans="1:5" x14ac:dyDescent="0.25">
      <c r="A157" s="870" t="s">
        <v>426</v>
      </c>
      <c r="B157" s="871"/>
      <c r="C157" s="871"/>
      <c r="D157" s="871"/>
      <c r="E157" s="872">
        <f t="shared" si="10"/>
        <v>0</v>
      </c>
    </row>
    <row r="158" spans="1:5" x14ac:dyDescent="0.25">
      <c r="A158" s="870" t="s">
        <v>427</v>
      </c>
      <c r="B158" s="871"/>
      <c r="C158" s="871"/>
      <c r="D158" s="871"/>
      <c r="E158" s="872">
        <f t="shared" si="10"/>
        <v>0</v>
      </c>
    </row>
    <row r="159" spans="1:5" x14ac:dyDescent="0.25">
      <c r="A159" s="870" t="s">
        <v>428</v>
      </c>
      <c r="B159" s="871"/>
      <c r="C159" s="871"/>
      <c r="D159" s="871"/>
      <c r="E159" s="872">
        <f t="shared" si="10"/>
        <v>0</v>
      </c>
    </row>
    <row r="160" spans="1:5" ht="15.75" thickBot="1" x14ac:dyDescent="0.3">
      <c r="A160" s="873" t="s">
        <v>693</v>
      </c>
      <c r="B160" s="874">
        <v>1658</v>
      </c>
      <c r="C160" s="874"/>
      <c r="D160" s="874"/>
      <c r="E160" s="872">
        <f t="shared" si="10"/>
        <v>1658</v>
      </c>
    </row>
    <row r="161" spans="1:5" ht="15.75" thickBot="1" x14ac:dyDescent="0.3">
      <c r="A161" s="875" t="s">
        <v>423</v>
      </c>
      <c r="B161" s="876">
        <f>B155+SUM(B156:B160)</f>
        <v>1658</v>
      </c>
      <c r="C161" s="876">
        <f>C155+SUM(C156:C160)</f>
        <v>0</v>
      </c>
      <c r="D161" s="876">
        <f>D155+SUM(D156:D160)</f>
        <v>0</v>
      </c>
      <c r="E161" s="877">
        <f>E155+SUM(E156:E160)</f>
        <v>1658</v>
      </c>
    </row>
    <row r="162" spans="1:5" ht="15.75" thickBot="1" x14ac:dyDescent="0.3">
      <c r="A162" s="878"/>
      <c r="B162" s="878"/>
      <c r="C162" s="878"/>
      <c r="D162" s="878"/>
      <c r="E162" s="878"/>
    </row>
    <row r="163" spans="1:5" ht="15.75" thickBot="1" x14ac:dyDescent="0.3">
      <c r="A163" s="864" t="s">
        <v>429</v>
      </c>
      <c r="B163" s="865">
        <v>2019</v>
      </c>
      <c r="C163" s="865">
        <v>2020</v>
      </c>
      <c r="D163" s="865" t="s">
        <v>634</v>
      </c>
      <c r="E163" s="866" t="s">
        <v>414</v>
      </c>
    </row>
    <row r="164" spans="1:5" x14ac:dyDescent="0.25">
      <c r="A164" s="867" t="s">
        <v>430</v>
      </c>
      <c r="B164" s="868"/>
      <c r="C164" s="868"/>
      <c r="D164" s="868"/>
      <c r="E164" s="869">
        <f t="shared" ref="E164:E170" si="11">SUM(B164:D164)</f>
        <v>0</v>
      </c>
    </row>
    <row r="165" spans="1:5" x14ac:dyDescent="0.25">
      <c r="A165" s="879" t="s">
        <v>431</v>
      </c>
      <c r="B165" s="871">
        <v>1556</v>
      </c>
      <c r="C165" s="871"/>
      <c r="D165" s="871"/>
      <c r="E165" s="872">
        <f t="shared" si="11"/>
        <v>1556</v>
      </c>
    </row>
    <row r="166" spans="1:5" x14ac:dyDescent="0.25">
      <c r="A166" s="870" t="s">
        <v>432</v>
      </c>
      <c r="B166" s="871">
        <v>102</v>
      </c>
      <c r="C166" s="871"/>
      <c r="D166" s="871"/>
      <c r="E166" s="872">
        <f t="shared" si="11"/>
        <v>102</v>
      </c>
    </row>
    <row r="167" spans="1:5" x14ac:dyDescent="0.25">
      <c r="A167" s="870" t="s">
        <v>433</v>
      </c>
      <c r="B167" s="871"/>
      <c r="C167" s="871"/>
      <c r="D167" s="871"/>
      <c r="E167" s="872">
        <f t="shared" si="11"/>
        <v>0</v>
      </c>
    </row>
    <row r="168" spans="1:5" x14ac:dyDescent="0.25">
      <c r="A168" s="880"/>
      <c r="B168" s="718"/>
      <c r="C168" s="871"/>
      <c r="D168" s="871"/>
      <c r="E168" s="872">
        <f t="shared" si="11"/>
        <v>0</v>
      </c>
    </row>
    <row r="169" spans="1:5" x14ac:dyDescent="0.25">
      <c r="A169" s="880"/>
      <c r="B169" s="871"/>
      <c r="C169" s="871"/>
      <c r="D169" s="871"/>
      <c r="E169" s="872">
        <f t="shared" si="11"/>
        <v>0</v>
      </c>
    </row>
    <row r="170" spans="1:5" ht="15.75" thickBot="1" x14ac:dyDescent="0.3">
      <c r="A170" s="873"/>
      <c r="B170" s="881"/>
      <c r="C170" s="881"/>
      <c r="D170" s="881"/>
      <c r="E170" s="882">
        <f t="shared" si="11"/>
        <v>0</v>
      </c>
    </row>
    <row r="171" spans="1:5" ht="15.75" thickBot="1" x14ac:dyDescent="0.3">
      <c r="A171" s="875" t="s">
        <v>434</v>
      </c>
      <c r="B171" s="876">
        <f>SUM(B164:B170)</f>
        <v>1658</v>
      </c>
      <c r="C171" s="876">
        <f>SUM(C164:C170)</f>
        <v>0</v>
      </c>
      <c r="D171" s="876">
        <f>SUM(D164:D170)</f>
        <v>0</v>
      </c>
      <c r="E171" s="877">
        <f>SUM(E164:E170)</f>
        <v>1658</v>
      </c>
    </row>
    <row r="172" spans="1:5" ht="15.75" x14ac:dyDescent="0.3">
      <c r="A172" s="883"/>
      <c r="B172" s="883"/>
      <c r="C172" s="883"/>
      <c r="D172" s="883"/>
      <c r="E172" s="883"/>
    </row>
    <row r="173" spans="1:5" x14ac:dyDescent="0.25">
      <c r="A173" s="1005" t="s">
        <v>633</v>
      </c>
      <c r="B173" s="1005"/>
      <c r="C173" s="1005"/>
      <c r="D173" s="1005"/>
      <c r="E173" s="1005"/>
    </row>
    <row r="174" spans="1:5" ht="16.5" thickBot="1" x14ac:dyDescent="0.35">
      <c r="A174" s="883"/>
      <c r="B174" s="883"/>
      <c r="C174" s="883"/>
      <c r="D174" s="883"/>
      <c r="E174" s="883"/>
    </row>
    <row r="175" spans="1:5" ht="16.5" thickBot="1" x14ac:dyDescent="0.35">
      <c r="A175" s="1018" t="s">
        <v>435</v>
      </c>
      <c r="B175" s="1018"/>
      <c r="C175" s="1018"/>
      <c r="D175" s="1017" t="s">
        <v>436</v>
      </c>
      <c r="E175" s="1017"/>
    </row>
    <row r="176" spans="1:5" ht="15.75" x14ac:dyDescent="0.3">
      <c r="A176" s="1016"/>
      <c r="B176" s="1016"/>
      <c r="C176" s="1016"/>
      <c r="D176" s="1015"/>
      <c r="E176" s="1015"/>
    </row>
    <row r="177" spans="1:5" ht="16.5" thickBot="1" x14ac:dyDescent="0.35">
      <c r="A177" s="1014"/>
      <c r="B177" s="1014"/>
      <c r="C177" s="1014"/>
      <c r="D177" s="1013"/>
      <c r="E177" s="1013"/>
    </row>
    <row r="178" spans="1:5" ht="16.5" thickBot="1" x14ac:dyDescent="0.35">
      <c r="A178" s="1012" t="s">
        <v>434</v>
      </c>
      <c r="B178" s="1012"/>
      <c r="C178" s="1012"/>
      <c r="D178" s="1011">
        <f>SUM(D176:E177)</f>
        <v>0</v>
      </c>
      <c r="E178" s="1011"/>
    </row>
    <row r="180" spans="1:5" ht="15.75" x14ac:dyDescent="0.3">
      <c r="A180" s="117" t="s">
        <v>723</v>
      </c>
      <c r="B180" s="117"/>
      <c r="C180" s="117"/>
      <c r="D180" s="117"/>
      <c r="E180" s="117"/>
    </row>
    <row r="181" spans="1:5" ht="18" x14ac:dyDescent="0.25">
      <c r="A181" s="1010" t="s">
        <v>420</v>
      </c>
      <c r="B181" s="1010"/>
      <c r="C181" s="1010"/>
      <c r="D181" s="1010"/>
      <c r="E181" s="1010"/>
    </row>
    <row r="182" spans="1:5" x14ac:dyDescent="0.25">
      <c r="A182" s="1009" t="s">
        <v>421</v>
      </c>
      <c r="B182" s="1009"/>
      <c r="C182" s="1009"/>
      <c r="D182" s="1009"/>
      <c r="E182" s="1009"/>
    </row>
    <row r="183" spans="1:5" ht="37.5" customHeight="1" thickBot="1" x14ac:dyDescent="0.35">
      <c r="A183" s="862" t="s">
        <v>549</v>
      </c>
      <c r="B183" s="1006" t="s">
        <v>631</v>
      </c>
      <c r="C183" s="1007"/>
      <c r="D183" s="1007"/>
      <c r="E183" s="863" t="s">
        <v>422</v>
      </c>
    </row>
    <row r="184" spans="1:5" ht="15.75" thickBot="1" x14ac:dyDescent="0.3">
      <c r="A184" s="864" t="s">
        <v>423</v>
      </c>
      <c r="B184" s="865">
        <v>2019</v>
      </c>
      <c r="C184" s="865">
        <v>2020</v>
      </c>
      <c r="D184" s="865" t="s">
        <v>634</v>
      </c>
      <c r="E184" s="866" t="s">
        <v>414</v>
      </c>
    </row>
    <row r="185" spans="1:5" x14ac:dyDescent="0.25">
      <c r="A185" s="867" t="s">
        <v>424</v>
      </c>
      <c r="B185" s="868"/>
      <c r="C185" s="868"/>
      <c r="D185" s="868"/>
      <c r="E185" s="869">
        <f t="shared" ref="E185:E190" si="12">SUM(B185:D185)</f>
        <v>0</v>
      </c>
    </row>
    <row r="186" spans="1:5" x14ac:dyDescent="0.25">
      <c r="A186" s="870" t="s">
        <v>425</v>
      </c>
      <c r="B186" s="871"/>
      <c r="C186" s="871"/>
      <c r="D186" s="871"/>
      <c r="E186" s="872">
        <f t="shared" si="12"/>
        <v>0</v>
      </c>
    </row>
    <row r="187" spans="1:5" x14ac:dyDescent="0.25">
      <c r="A187" s="870" t="s">
        <v>426</v>
      </c>
      <c r="B187" s="871"/>
      <c r="C187" s="871"/>
      <c r="D187" s="871"/>
      <c r="E187" s="872">
        <f t="shared" si="12"/>
        <v>0</v>
      </c>
    </row>
    <row r="188" spans="1:5" x14ac:dyDescent="0.25">
      <c r="A188" s="870" t="s">
        <v>427</v>
      </c>
      <c r="B188" s="871"/>
      <c r="C188" s="871"/>
      <c r="D188" s="871"/>
      <c r="E188" s="872">
        <f t="shared" si="12"/>
        <v>0</v>
      </c>
    </row>
    <row r="189" spans="1:5" x14ac:dyDescent="0.25">
      <c r="A189" s="870" t="s">
        <v>428</v>
      </c>
      <c r="B189" s="871"/>
      <c r="C189" s="871"/>
      <c r="D189" s="871"/>
      <c r="E189" s="872">
        <f t="shared" si="12"/>
        <v>0</v>
      </c>
    </row>
    <row r="190" spans="1:5" ht="15.75" thickBot="1" x14ac:dyDescent="0.3">
      <c r="A190" s="873" t="s">
        <v>693</v>
      </c>
      <c r="B190" s="874">
        <v>39080</v>
      </c>
      <c r="C190" s="874"/>
      <c r="D190" s="874"/>
      <c r="E190" s="872">
        <f t="shared" si="12"/>
        <v>39080</v>
      </c>
    </row>
    <row r="191" spans="1:5" ht="15.75" thickBot="1" x14ac:dyDescent="0.3">
      <c r="A191" s="875" t="s">
        <v>423</v>
      </c>
      <c r="B191" s="876">
        <f>B185+SUM(B186:B190)</f>
        <v>39080</v>
      </c>
      <c r="C191" s="876">
        <f>C185+SUM(C186:C190)</f>
        <v>0</v>
      </c>
      <c r="D191" s="876">
        <f>D185+SUM(D186:D190)</f>
        <v>0</v>
      </c>
      <c r="E191" s="877">
        <f>E185+SUM(E186:E190)</f>
        <v>39080</v>
      </c>
    </row>
    <row r="192" spans="1:5" ht="15.75" thickBot="1" x14ac:dyDescent="0.3">
      <c r="A192" s="878"/>
      <c r="B192" s="878"/>
      <c r="C192" s="878"/>
      <c r="D192" s="878"/>
      <c r="E192" s="878"/>
    </row>
    <row r="193" spans="1:5" ht="15.75" thickBot="1" x14ac:dyDescent="0.3">
      <c r="A193" s="864" t="s">
        <v>429</v>
      </c>
      <c r="B193" s="865">
        <v>2019</v>
      </c>
      <c r="C193" s="865">
        <v>2020</v>
      </c>
      <c r="D193" s="865" t="s">
        <v>634</v>
      </c>
      <c r="E193" s="866" t="s">
        <v>414</v>
      </c>
    </row>
    <row r="194" spans="1:5" x14ac:dyDescent="0.25">
      <c r="A194" s="867" t="s">
        <v>430</v>
      </c>
      <c r="B194" s="868">
        <f>2090+408</f>
        <v>2498</v>
      </c>
      <c r="C194" s="868"/>
      <c r="D194" s="868"/>
      <c r="E194" s="869">
        <f t="shared" ref="E194:E200" si="13">SUM(B194:D194)</f>
        <v>2498</v>
      </c>
    </row>
    <row r="195" spans="1:5" x14ac:dyDescent="0.25">
      <c r="A195" s="879" t="s">
        <v>431</v>
      </c>
      <c r="B195" s="871"/>
      <c r="C195" s="871"/>
      <c r="D195" s="871"/>
      <c r="E195" s="872">
        <f t="shared" si="13"/>
        <v>0</v>
      </c>
    </row>
    <row r="196" spans="1:5" x14ac:dyDescent="0.25">
      <c r="A196" s="870" t="s">
        <v>432</v>
      </c>
      <c r="B196" s="871">
        <v>18291</v>
      </c>
      <c r="C196" s="871">
        <v>18291</v>
      </c>
      <c r="D196" s="871"/>
      <c r="E196" s="872">
        <f t="shared" si="13"/>
        <v>36582</v>
      </c>
    </row>
    <row r="197" spans="1:5" x14ac:dyDescent="0.25">
      <c r="A197" s="870" t="s">
        <v>433</v>
      </c>
      <c r="B197" s="871"/>
      <c r="C197" s="871"/>
      <c r="D197" s="871"/>
      <c r="E197" s="872">
        <f t="shared" si="13"/>
        <v>0</v>
      </c>
    </row>
    <row r="198" spans="1:5" x14ac:dyDescent="0.25">
      <c r="A198" s="880" t="s">
        <v>228</v>
      </c>
      <c r="B198" s="718"/>
      <c r="C198" s="871"/>
      <c r="D198" s="871"/>
      <c r="E198" s="872">
        <f t="shared" si="13"/>
        <v>0</v>
      </c>
    </row>
    <row r="199" spans="1:5" x14ac:dyDescent="0.25">
      <c r="A199" s="880"/>
      <c r="B199" s="871"/>
      <c r="C199" s="871"/>
      <c r="D199" s="871"/>
      <c r="E199" s="872">
        <f t="shared" si="13"/>
        <v>0</v>
      </c>
    </row>
    <row r="200" spans="1:5" ht="15.75" thickBot="1" x14ac:dyDescent="0.3">
      <c r="A200" s="873"/>
      <c r="B200" s="881"/>
      <c r="C200" s="881"/>
      <c r="D200" s="881"/>
      <c r="E200" s="882">
        <f t="shared" si="13"/>
        <v>0</v>
      </c>
    </row>
    <row r="201" spans="1:5" ht="15.75" thickBot="1" x14ac:dyDescent="0.3">
      <c r="A201" s="875" t="s">
        <v>434</v>
      </c>
      <c r="B201" s="876">
        <f>SUM(B194:B200)</f>
        <v>20789</v>
      </c>
      <c r="C201" s="876">
        <f>SUM(C194:C200)</f>
        <v>18291</v>
      </c>
      <c r="D201" s="876">
        <f>SUM(D194:D200)</f>
        <v>0</v>
      </c>
      <c r="E201" s="877">
        <f>SUM(E194:E200)</f>
        <v>39080</v>
      </c>
    </row>
    <row r="202" spans="1:5" ht="15.75" x14ac:dyDescent="0.3">
      <c r="A202" s="883"/>
      <c r="B202" s="883"/>
      <c r="C202" s="883"/>
      <c r="D202" s="883"/>
      <c r="E202" s="883"/>
    </row>
    <row r="203" spans="1:5" x14ac:dyDescent="0.25">
      <c r="A203" s="1005" t="s">
        <v>633</v>
      </c>
      <c r="B203" s="1005"/>
      <c r="C203" s="1005"/>
      <c r="D203" s="1005"/>
      <c r="E203" s="1005"/>
    </row>
    <row r="204" spans="1:5" ht="16.5" thickBot="1" x14ac:dyDescent="0.35">
      <c r="A204" s="883"/>
      <c r="B204" s="883"/>
      <c r="C204" s="883"/>
      <c r="D204" s="883"/>
      <c r="E204" s="883"/>
    </row>
    <row r="205" spans="1:5" ht="16.5" thickBot="1" x14ac:dyDescent="0.35">
      <c r="A205" s="1018" t="s">
        <v>435</v>
      </c>
      <c r="B205" s="1018"/>
      <c r="C205" s="1018"/>
      <c r="D205" s="1017" t="s">
        <v>436</v>
      </c>
      <c r="E205" s="1017"/>
    </row>
    <row r="206" spans="1:5" ht="15.75" x14ac:dyDescent="0.3">
      <c r="A206" s="1016"/>
      <c r="B206" s="1016"/>
      <c r="C206" s="1016"/>
      <c r="D206" s="1015"/>
      <c r="E206" s="1015"/>
    </row>
    <row r="207" spans="1:5" ht="16.5" thickBot="1" x14ac:dyDescent="0.35">
      <c r="A207" s="1014"/>
      <c r="B207" s="1014"/>
      <c r="C207" s="1014"/>
      <c r="D207" s="1013"/>
      <c r="E207" s="1013"/>
    </row>
    <row r="208" spans="1:5" ht="16.5" thickBot="1" x14ac:dyDescent="0.35">
      <c r="A208" s="1012" t="s">
        <v>434</v>
      </c>
      <c r="B208" s="1012"/>
      <c r="C208" s="1012"/>
      <c r="D208" s="1011">
        <f>SUM(D206:E207)</f>
        <v>0</v>
      </c>
      <c r="E208" s="1011"/>
    </row>
    <row r="210" spans="1:5" ht="15.75" x14ac:dyDescent="0.3">
      <c r="A210" s="117" t="s">
        <v>724</v>
      </c>
      <c r="B210" s="117"/>
      <c r="C210" s="117"/>
      <c r="D210" s="117"/>
      <c r="E210" s="117"/>
    </row>
    <row r="211" spans="1:5" ht="18" x14ac:dyDescent="0.25">
      <c r="A211" s="999" t="s">
        <v>420</v>
      </c>
      <c r="B211" s="999"/>
      <c r="C211" s="999"/>
      <c r="D211" s="999"/>
      <c r="E211" s="999"/>
    </row>
    <row r="212" spans="1:5" ht="15" customHeight="1" x14ac:dyDescent="0.25">
      <c r="A212" s="1000" t="s">
        <v>421</v>
      </c>
      <c r="B212" s="1000"/>
      <c r="C212" s="1000"/>
      <c r="D212" s="1000"/>
      <c r="E212" s="1000"/>
    </row>
    <row r="213" spans="1:5" ht="43.5" customHeight="1" thickBot="1" x14ac:dyDescent="0.35">
      <c r="A213" s="1019" t="s">
        <v>694</v>
      </c>
      <c r="B213" s="1019"/>
      <c r="C213" s="1019"/>
      <c r="D213" s="1020" t="s">
        <v>422</v>
      </c>
      <c r="E213" s="1020"/>
    </row>
    <row r="214" spans="1:5" ht="15.75" thickBot="1" x14ac:dyDescent="0.3">
      <c r="A214" s="886" t="s">
        <v>423</v>
      </c>
      <c r="B214" s="887" t="s">
        <v>581</v>
      </c>
      <c r="C214" s="887" t="s">
        <v>623</v>
      </c>
      <c r="D214" s="887" t="s">
        <v>695</v>
      </c>
      <c r="E214" s="888" t="s">
        <v>414</v>
      </c>
    </row>
    <row r="215" spans="1:5" x14ac:dyDescent="0.25">
      <c r="A215" s="889" t="s">
        <v>424</v>
      </c>
      <c r="B215" s="890"/>
      <c r="C215" s="890"/>
      <c r="D215" s="890"/>
      <c r="E215" s="891">
        <f t="shared" ref="E215:E220" si="14">SUM(B215:D215)</f>
        <v>0</v>
      </c>
    </row>
    <row r="216" spans="1:5" x14ac:dyDescent="0.25">
      <c r="A216" s="892" t="s">
        <v>425</v>
      </c>
      <c r="B216" s="893">
        <v>2377</v>
      </c>
      <c r="C216" s="893"/>
      <c r="D216" s="893"/>
      <c r="E216" s="894">
        <f t="shared" si="14"/>
        <v>2377</v>
      </c>
    </row>
    <row r="217" spans="1:5" x14ac:dyDescent="0.25">
      <c r="A217" s="892" t="s">
        <v>426</v>
      </c>
      <c r="B217" s="893"/>
      <c r="C217" s="893"/>
      <c r="D217" s="893"/>
      <c r="E217" s="894">
        <f t="shared" si="14"/>
        <v>0</v>
      </c>
    </row>
    <row r="218" spans="1:5" x14ac:dyDescent="0.25">
      <c r="A218" s="892" t="s">
        <v>427</v>
      </c>
      <c r="B218" s="893"/>
      <c r="C218" s="893"/>
      <c r="D218" s="893"/>
      <c r="E218" s="894">
        <f t="shared" si="14"/>
        <v>0</v>
      </c>
    </row>
    <row r="219" spans="1:5" x14ac:dyDescent="0.25">
      <c r="A219" s="892" t="s">
        <v>428</v>
      </c>
      <c r="B219" s="893"/>
      <c r="C219" s="893"/>
      <c r="D219" s="893"/>
      <c r="E219" s="894">
        <f t="shared" si="14"/>
        <v>0</v>
      </c>
    </row>
    <row r="220" spans="1:5" ht="15.75" thickBot="1" x14ac:dyDescent="0.3">
      <c r="A220" s="895"/>
      <c r="B220" s="896"/>
      <c r="C220" s="896"/>
      <c r="D220" s="896"/>
      <c r="E220" s="894">
        <f t="shared" si="14"/>
        <v>0</v>
      </c>
    </row>
    <row r="221" spans="1:5" ht="15.75" thickBot="1" x14ac:dyDescent="0.3">
      <c r="A221" s="897" t="s">
        <v>423</v>
      </c>
      <c r="B221" s="898">
        <f>B215+SUM(B216:B220)</f>
        <v>2377</v>
      </c>
      <c r="C221" s="898">
        <f>C215+SUM(C216:C220)</f>
        <v>0</v>
      </c>
      <c r="D221" s="898">
        <f>D215+SUM(D216:D220)</f>
        <v>0</v>
      </c>
      <c r="E221" s="899">
        <f>E215+SUM(E216:E220)</f>
        <v>2377</v>
      </c>
    </row>
    <row r="222" spans="1:5" ht="15.75" thickBot="1" x14ac:dyDescent="0.3">
      <c r="A222" s="900"/>
      <c r="B222" s="900"/>
      <c r="C222" s="900"/>
      <c r="D222" s="900"/>
      <c r="E222" s="900"/>
    </row>
    <row r="223" spans="1:5" ht="15.75" thickBot="1" x14ac:dyDescent="0.3">
      <c r="A223" s="886" t="s">
        <v>429</v>
      </c>
      <c r="B223" s="887">
        <v>2018</v>
      </c>
      <c r="C223" s="887" t="s">
        <v>696</v>
      </c>
      <c r="D223" s="887" t="s">
        <v>697</v>
      </c>
      <c r="E223" s="888" t="s">
        <v>414</v>
      </c>
    </row>
    <row r="224" spans="1:5" x14ac:dyDescent="0.25">
      <c r="A224" s="889" t="s">
        <v>430</v>
      </c>
      <c r="B224" s="890">
        <v>2377</v>
      </c>
      <c r="C224" s="890"/>
      <c r="D224" s="890"/>
      <c r="E224" s="891">
        <f>SUM(B224:D224)</f>
        <v>2377</v>
      </c>
    </row>
    <row r="225" spans="1:5" x14ac:dyDescent="0.25">
      <c r="A225" s="901" t="s">
        <v>431</v>
      </c>
      <c r="B225" s="893"/>
      <c r="C225" s="893"/>
      <c r="D225" s="893"/>
      <c r="E225" s="894">
        <f>SUM(B225:D225)</f>
        <v>0</v>
      </c>
    </row>
    <row r="226" spans="1:5" x14ac:dyDescent="0.25">
      <c r="A226" s="892" t="s">
        <v>432</v>
      </c>
      <c r="B226" s="893"/>
      <c r="C226" s="893"/>
      <c r="D226" s="893"/>
      <c r="E226" s="894">
        <f>SUM(B226:D226)</f>
        <v>0</v>
      </c>
    </row>
    <row r="227" spans="1:5" x14ac:dyDescent="0.25">
      <c r="A227" s="892" t="s">
        <v>433</v>
      </c>
      <c r="B227" s="893"/>
      <c r="C227" s="893"/>
      <c r="D227" s="893"/>
      <c r="E227" s="894">
        <v>2539</v>
      </c>
    </row>
    <row r="228" spans="1:5" x14ac:dyDescent="0.25">
      <c r="A228" s="902"/>
      <c r="B228" s="893"/>
      <c r="C228" s="893"/>
      <c r="D228" s="893"/>
      <c r="E228" s="894">
        <f>SUM(B228:D228)</f>
        <v>0</v>
      </c>
    </row>
    <row r="229" spans="1:5" x14ac:dyDescent="0.25">
      <c r="A229" s="902"/>
      <c r="B229" s="893"/>
      <c r="C229" s="893"/>
      <c r="D229" s="893"/>
      <c r="E229" s="894">
        <f>SUM(B229:D229)</f>
        <v>0</v>
      </c>
    </row>
    <row r="230" spans="1:5" ht="15.75" thickBot="1" x14ac:dyDescent="0.3">
      <c r="A230" s="895"/>
      <c r="B230" s="903"/>
      <c r="C230" s="903"/>
      <c r="D230" s="903"/>
      <c r="E230" s="904">
        <f>SUM(B230:D230)</f>
        <v>0</v>
      </c>
    </row>
    <row r="231" spans="1:5" ht="15.75" thickBot="1" x14ac:dyDescent="0.3">
      <c r="A231" s="897" t="s">
        <v>434</v>
      </c>
      <c r="B231" s="898">
        <f>SUM(B224:B230)</f>
        <v>2377</v>
      </c>
      <c r="C231" s="898">
        <f>SUM(C224:C230)</f>
        <v>0</v>
      </c>
      <c r="D231" s="898">
        <f>SUM(D224:D230)</f>
        <v>0</v>
      </c>
      <c r="E231" s="899">
        <f>SUM(E224:E230)</f>
        <v>4916</v>
      </c>
    </row>
    <row r="232" spans="1:5" ht="15.75" x14ac:dyDescent="0.3">
      <c r="A232" s="905"/>
      <c r="B232" s="905"/>
      <c r="C232" s="905"/>
      <c r="D232" s="905"/>
      <c r="E232" s="905"/>
    </row>
    <row r="233" spans="1:5" x14ac:dyDescent="0.25">
      <c r="A233" s="1002" t="s">
        <v>633</v>
      </c>
      <c r="B233" s="1002"/>
      <c r="C233" s="1002"/>
      <c r="D233" s="1002"/>
      <c r="E233" s="1002"/>
    </row>
    <row r="234" spans="1:5" ht="16.5" thickBot="1" x14ac:dyDescent="0.35">
      <c r="A234" s="905"/>
      <c r="B234" s="905"/>
      <c r="C234" s="905"/>
      <c r="D234" s="905"/>
      <c r="E234" s="905"/>
    </row>
    <row r="235" spans="1:5" ht="16.5" thickBot="1" x14ac:dyDescent="0.35">
      <c r="A235" s="1003" t="s">
        <v>435</v>
      </c>
      <c r="B235" s="1003"/>
      <c r="C235" s="1003"/>
      <c r="D235" s="1004" t="s">
        <v>436</v>
      </c>
      <c r="E235" s="1004"/>
    </row>
    <row r="236" spans="1:5" x14ac:dyDescent="0.25">
      <c r="A236" s="993"/>
      <c r="B236" s="993"/>
      <c r="C236" s="993"/>
      <c r="D236" s="994"/>
      <c r="E236" s="994"/>
    </row>
    <row r="237" spans="1:5" ht="15.75" thickBot="1" x14ac:dyDescent="0.3">
      <c r="A237" s="995"/>
      <c r="B237" s="995"/>
      <c r="C237" s="995"/>
      <c r="D237" s="996"/>
      <c r="E237" s="996"/>
    </row>
    <row r="238" spans="1:5" ht="16.5" thickBot="1" x14ac:dyDescent="0.35">
      <c r="A238" s="1012" t="s">
        <v>434</v>
      </c>
      <c r="B238" s="1012"/>
      <c r="C238" s="1012"/>
      <c r="D238" s="1011">
        <f>SUM(D236:E237)</f>
        <v>0</v>
      </c>
      <c r="E238" s="1011"/>
    </row>
    <row r="239" spans="1:5" ht="15.75" x14ac:dyDescent="0.3">
      <c r="A239" s="117" t="s">
        <v>725</v>
      </c>
    </row>
    <row r="240" spans="1:5" ht="18" x14ac:dyDescent="0.25">
      <c r="A240" s="1008" t="s">
        <v>420</v>
      </c>
      <c r="B240" s="1008"/>
      <c r="C240" s="1008"/>
      <c r="D240" s="1008"/>
      <c r="E240" s="1008"/>
    </row>
    <row r="241" spans="1:5" x14ac:dyDescent="0.25">
      <c r="A241" s="1000" t="s">
        <v>421</v>
      </c>
      <c r="B241" s="1000"/>
      <c r="C241" s="1000"/>
      <c r="D241" s="1000"/>
      <c r="E241" s="1000"/>
    </row>
    <row r="242" spans="1:5" ht="28.5" customHeight="1" thickBot="1" x14ac:dyDescent="0.35">
      <c r="A242" s="906" t="s">
        <v>698</v>
      </c>
      <c r="B242" s="1001" t="s">
        <v>699</v>
      </c>
      <c r="C242" s="1001"/>
      <c r="D242" s="1001"/>
      <c r="E242" s="907" t="s">
        <v>422</v>
      </c>
    </row>
    <row r="243" spans="1:5" ht="15.75" thickBot="1" x14ac:dyDescent="0.3">
      <c r="A243" s="886" t="s">
        <v>423</v>
      </c>
      <c r="B243" s="887" t="s">
        <v>581</v>
      </c>
      <c r="C243" s="887" t="s">
        <v>623</v>
      </c>
      <c r="D243" s="887" t="s">
        <v>634</v>
      </c>
      <c r="E243" s="888" t="s">
        <v>414</v>
      </c>
    </row>
    <row r="244" spans="1:5" x14ac:dyDescent="0.25">
      <c r="A244" s="889" t="s">
        <v>424</v>
      </c>
      <c r="B244" s="890"/>
      <c r="C244" s="890"/>
      <c r="D244" s="890"/>
      <c r="E244" s="891">
        <f t="shared" ref="E244:E249" si="15">SUM(B244:D244)</f>
        <v>0</v>
      </c>
    </row>
    <row r="245" spans="1:5" x14ac:dyDescent="0.25">
      <c r="A245" s="892" t="s">
        <v>425</v>
      </c>
      <c r="B245" s="893">
        <v>52232</v>
      </c>
      <c r="C245" s="893">
        <v>89504</v>
      </c>
      <c r="D245" s="893"/>
      <c r="E245" s="894">
        <f t="shared" si="15"/>
        <v>141736</v>
      </c>
    </row>
    <row r="246" spans="1:5" x14ac:dyDescent="0.25">
      <c r="A246" s="892" t="s">
        <v>426</v>
      </c>
      <c r="B246" s="893"/>
      <c r="C246" s="893"/>
      <c r="D246" s="893"/>
      <c r="E246" s="894">
        <f t="shared" si="15"/>
        <v>0</v>
      </c>
    </row>
    <row r="247" spans="1:5" x14ac:dyDescent="0.25">
      <c r="A247" s="892" t="s">
        <v>427</v>
      </c>
      <c r="B247" s="893"/>
      <c r="C247" s="893"/>
      <c r="D247" s="893"/>
      <c r="E247" s="894">
        <f t="shared" si="15"/>
        <v>0</v>
      </c>
    </row>
    <row r="248" spans="1:5" x14ac:dyDescent="0.25">
      <c r="A248" s="892" t="s">
        <v>428</v>
      </c>
      <c r="B248" s="893"/>
      <c r="C248" s="893"/>
      <c r="D248" s="893"/>
      <c r="E248" s="894">
        <f t="shared" si="15"/>
        <v>0</v>
      </c>
    </row>
    <row r="249" spans="1:5" ht="15.75" thickBot="1" x14ac:dyDescent="0.3">
      <c r="A249" s="873" t="s">
        <v>693</v>
      </c>
      <c r="B249" s="896">
        <v>114033</v>
      </c>
      <c r="C249" s="896"/>
      <c r="D249" s="896"/>
      <c r="E249" s="894">
        <f t="shared" si="15"/>
        <v>114033</v>
      </c>
    </row>
    <row r="250" spans="1:5" ht="15.75" thickBot="1" x14ac:dyDescent="0.3">
      <c r="A250" s="897" t="s">
        <v>423</v>
      </c>
      <c r="B250" s="898">
        <f>B244+SUM(B245:B249)</f>
        <v>166265</v>
      </c>
      <c r="C250" s="898">
        <f>C244+SUM(C245:C249)</f>
        <v>89504</v>
      </c>
      <c r="D250" s="898">
        <f>D244+SUM(D245:D249)</f>
        <v>0</v>
      </c>
      <c r="E250" s="899">
        <f>E244+SUM(E245:E249)</f>
        <v>255769</v>
      </c>
    </row>
    <row r="251" spans="1:5" ht="15.75" thickBot="1" x14ac:dyDescent="0.3">
      <c r="A251" s="900"/>
      <c r="B251" s="900"/>
      <c r="C251" s="900"/>
      <c r="D251" s="900"/>
      <c r="E251" s="900"/>
    </row>
    <row r="252" spans="1:5" ht="15.75" thickBot="1" x14ac:dyDescent="0.3">
      <c r="A252" s="886" t="s">
        <v>429</v>
      </c>
      <c r="B252" s="887" t="s">
        <v>700</v>
      </c>
      <c r="C252" s="887" t="s">
        <v>581</v>
      </c>
      <c r="D252" s="887" t="s">
        <v>697</v>
      </c>
      <c r="E252" s="888" t="s">
        <v>414</v>
      </c>
    </row>
    <row r="253" spans="1:5" x14ac:dyDescent="0.25">
      <c r="A253" s="889" t="s">
        <v>430</v>
      </c>
      <c r="B253" s="890">
        <f>27724+5919</f>
        <v>33643</v>
      </c>
      <c r="C253" s="890">
        <f>18483+3946</f>
        <v>22429</v>
      </c>
      <c r="D253" s="890"/>
      <c r="E253" s="891">
        <f t="shared" ref="E253:E259" si="16">SUM(B253:D253)</f>
        <v>56072</v>
      </c>
    </row>
    <row r="254" spans="1:5" x14ac:dyDescent="0.25">
      <c r="A254" s="901" t="s">
        <v>431</v>
      </c>
      <c r="B254" s="893">
        <v>9905</v>
      </c>
      <c r="C254" s="893"/>
      <c r="D254" s="893"/>
      <c r="E254" s="894">
        <f t="shared" si="16"/>
        <v>9905</v>
      </c>
    </row>
    <row r="255" spans="1:5" x14ac:dyDescent="0.25">
      <c r="A255" s="892" t="s">
        <v>432</v>
      </c>
      <c r="B255" s="893">
        <v>68251</v>
      </c>
      <c r="C255" s="893">
        <v>34125</v>
      </c>
      <c r="D255" s="893"/>
      <c r="E255" s="894">
        <f t="shared" si="16"/>
        <v>102376</v>
      </c>
    </row>
    <row r="256" spans="1:5" x14ac:dyDescent="0.25">
      <c r="A256" s="892" t="s">
        <v>433</v>
      </c>
      <c r="B256" s="893"/>
      <c r="C256" s="893"/>
      <c r="D256" s="893"/>
      <c r="E256" s="894">
        <f t="shared" si="16"/>
        <v>0</v>
      </c>
    </row>
    <row r="257" spans="1:5" x14ac:dyDescent="0.25">
      <c r="A257" s="902" t="s">
        <v>701</v>
      </c>
      <c r="B257" s="893">
        <v>37000</v>
      </c>
      <c r="C257" s="893">
        <v>24216</v>
      </c>
      <c r="D257" s="893"/>
      <c r="E257" s="894">
        <f t="shared" si="16"/>
        <v>61216</v>
      </c>
    </row>
    <row r="258" spans="1:5" x14ac:dyDescent="0.25">
      <c r="A258" s="902" t="s">
        <v>702</v>
      </c>
      <c r="B258" s="893">
        <v>17466</v>
      </c>
      <c r="C258" s="893">
        <v>8734</v>
      </c>
      <c r="D258" s="893"/>
      <c r="E258" s="894">
        <f t="shared" si="16"/>
        <v>26200</v>
      </c>
    </row>
    <row r="259" spans="1:5" ht="15.75" thickBot="1" x14ac:dyDescent="0.3">
      <c r="A259" s="895"/>
      <c r="B259" s="903"/>
      <c r="C259" s="903"/>
      <c r="D259" s="903"/>
      <c r="E259" s="904">
        <f t="shared" si="16"/>
        <v>0</v>
      </c>
    </row>
    <row r="260" spans="1:5" ht="15.75" thickBot="1" x14ac:dyDescent="0.3">
      <c r="A260" s="897" t="s">
        <v>434</v>
      </c>
      <c r="B260" s="898">
        <f>SUM(B253:B259)</f>
        <v>166265</v>
      </c>
      <c r="C260" s="898">
        <f>SUM(C253:C259)</f>
        <v>89504</v>
      </c>
      <c r="D260" s="898">
        <f>SUM(D253:D259)</f>
        <v>0</v>
      </c>
      <c r="E260" s="899">
        <f>SUM(E253:E259)</f>
        <v>255769</v>
      </c>
    </row>
    <row r="261" spans="1:5" ht="15.75" x14ac:dyDescent="0.3">
      <c r="A261" s="905"/>
      <c r="B261" s="905"/>
      <c r="C261" s="905"/>
      <c r="D261" s="905"/>
      <c r="E261" s="905"/>
    </row>
    <row r="262" spans="1:5" x14ac:dyDescent="0.25">
      <c r="A262" s="1002" t="s">
        <v>633</v>
      </c>
      <c r="B262" s="1002"/>
      <c r="C262" s="1002"/>
      <c r="D262" s="1002"/>
      <c r="E262" s="1002"/>
    </row>
    <row r="263" spans="1:5" ht="16.5" thickBot="1" x14ac:dyDescent="0.35">
      <c r="A263" s="905"/>
      <c r="B263" s="905"/>
      <c r="C263" s="905"/>
      <c r="D263" s="905"/>
      <c r="E263" s="905"/>
    </row>
    <row r="264" spans="1:5" ht="16.5" thickBot="1" x14ac:dyDescent="0.35">
      <c r="A264" s="1003" t="s">
        <v>435</v>
      </c>
      <c r="B264" s="1003"/>
      <c r="C264" s="1003"/>
      <c r="D264" s="1004" t="s">
        <v>436</v>
      </c>
      <c r="E264" s="1004"/>
    </row>
    <row r="265" spans="1:5" x14ac:dyDescent="0.25">
      <c r="A265" s="993"/>
      <c r="B265" s="993"/>
      <c r="C265" s="993"/>
      <c r="D265" s="994"/>
      <c r="E265" s="994"/>
    </row>
    <row r="266" spans="1:5" ht="15.75" thickBot="1" x14ac:dyDescent="0.3">
      <c r="A266" s="995"/>
      <c r="B266" s="995"/>
      <c r="C266" s="995"/>
      <c r="D266" s="996"/>
      <c r="E266" s="996"/>
    </row>
    <row r="267" spans="1:5" ht="16.5" thickBot="1" x14ac:dyDescent="0.35">
      <c r="A267" s="997" t="s">
        <v>434</v>
      </c>
      <c r="B267" s="997"/>
      <c r="C267" s="997"/>
      <c r="D267" s="998">
        <f>SUM(D265:E266)</f>
        <v>0</v>
      </c>
      <c r="E267" s="998"/>
    </row>
    <row r="268" spans="1:5" ht="15.75" x14ac:dyDescent="0.3">
      <c r="A268" s="117" t="s">
        <v>726</v>
      </c>
      <c r="B268" s="908"/>
      <c r="C268" s="908"/>
      <c r="D268" s="908"/>
      <c r="E268" s="908"/>
    </row>
    <row r="269" spans="1:5" ht="18" x14ac:dyDescent="0.25">
      <c r="A269" s="999" t="s">
        <v>420</v>
      </c>
      <c r="B269" s="999"/>
      <c r="C269" s="999"/>
      <c r="D269" s="999"/>
      <c r="E269" s="999"/>
    </row>
    <row r="270" spans="1:5" x14ac:dyDescent="0.25">
      <c r="A270" s="1000" t="s">
        <v>421</v>
      </c>
      <c r="B270" s="1000"/>
      <c r="C270" s="1000"/>
      <c r="D270" s="1000"/>
      <c r="E270" s="1000"/>
    </row>
    <row r="271" spans="1:5" ht="30.75" customHeight="1" thickBot="1" x14ac:dyDescent="0.35">
      <c r="A271" s="906" t="s">
        <v>549</v>
      </c>
      <c r="B271" s="1001" t="s">
        <v>703</v>
      </c>
      <c r="C271" s="1001"/>
      <c r="D271" s="1001" t="s">
        <v>422</v>
      </c>
      <c r="E271" s="907" t="s">
        <v>422</v>
      </c>
    </row>
    <row r="272" spans="1:5" ht="15.75" thickBot="1" x14ac:dyDescent="0.3">
      <c r="A272" s="886" t="s">
        <v>423</v>
      </c>
      <c r="B272" s="887" t="s">
        <v>581</v>
      </c>
      <c r="C272" s="887" t="s">
        <v>623</v>
      </c>
      <c r="D272" s="887" t="s">
        <v>634</v>
      </c>
      <c r="E272" s="888" t="s">
        <v>414</v>
      </c>
    </row>
    <row r="273" spans="1:5" x14ac:dyDescent="0.25">
      <c r="A273" s="889" t="s">
        <v>424</v>
      </c>
      <c r="B273" s="890"/>
      <c r="C273" s="890"/>
      <c r="D273" s="890"/>
      <c r="E273" s="891">
        <f>SUM(B273+C273+D273)</f>
        <v>0</v>
      </c>
    </row>
    <row r="274" spans="1:5" x14ac:dyDescent="0.25">
      <c r="A274" s="892" t="s">
        <v>425</v>
      </c>
      <c r="B274" s="893">
        <v>5274</v>
      </c>
      <c r="C274" s="893"/>
      <c r="D274" s="893"/>
      <c r="E274" s="894">
        <f>SUM(B274:D274)</f>
        <v>5274</v>
      </c>
    </row>
    <row r="275" spans="1:5" x14ac:dyDescent="0.25">
      <c r="A275" s="892" t="s">
        <v>426</v>
      </c>
      <c r="B275" s="893"/>
      <c r="C275" s="893"/>
      <c r="D275" s="893"/>
      <c r="E275" s="894">
        <f>SUM(B275:D275)</f>
        <v>0</v>
      </c>
    </row>
    <row r="276" spans="1:5" x14ac:dyDescent="0.25">
      <c r="A276" s="892" t="s">
        <v>427</v>
      </c>
      <c r="B276" s="893"/>
      <c r="C276" s="893"/>
      <c r="D276" s="893"/>
      <c r="E276" s="894">
        <f>SUM(B276:D276)</f>
        <v>0</v>
      </c>
    </row>
    <row r="277" spans="1:5" x14ac:dyDescent="0.25">
      <c r="A277" s="892" t="s">
        <v>428</v>
      </c>
      <c r="B277" s="893"/>
      <c r="C277" s="893"/>
      <c r="D277" s="893"/>
      <c r="E277" s="894">
        <f>SUM(B277:D277)</f>
        <v>0</v>
      </c>
    </row>
    <row r="278" spans="1:5" ht="15.75" thickBot="1" x14ac:dyDescent="0.3">
      <c r="A278" s="895"/>
      <c r="B278" s="896"/>
      <c r="C278" s="896"/>
      <c r="D278" s="896"/>
      <c r="E278" s="894">
        <f>SUM(B278:D278)</f>
        <v>0</v>
      </c>
    </row>
    <row r="279" spans="1:5" ht="15.75" thickBot="1" x14ac:dyDescent="0.3">
      <c r="A279" s="897" t="s">
        <v>423</v>
      </c>
      <c r="B279" s="898">
        <f>B273+SUM(B274:B278)</f>
        <v>5274</v>
      </c>
      <c r="C279" s="898">
        <f>C273+SUM(C274:C278)</f>
        <v>0</v>
      </c>
      <c r="D279" s="898">
        <f>D273+SUM(D274:D278)</f>
        <v>0</v>
      </c>
      <c r="E279" s="899">
        <f>E273+SUM(E274:E278)</f>
        <v>5274</v>
      </c>
    </row>
    <row r="280" spans="1:5" ht="15.75" thickBot="1" x14ac:dyDescent="0.3">
      <c r="A280" s="900"/>
      <c r="B280" s="900"/>
      <c r="C280" s="900"/>
      <c r="D280" s="900"/>
      <c r="E280" s="900"/>
    </row>
    <row r="281" spans="1:5" ht="15.75" thickBot="1" x14ac:dyDescent="0.3">
      <c r="A281" s="909" t="s">
        <v>429</v>
      </c>
      <c r="B281" s="910">
        <v>2018</v>
      </c>
      <c r="C281" s="910" t="s">
        <v>696</v>
      </c>
      <c r="D281" s="910" t="s">
        <v>697</v>
      </c>
      <c r="E281" s="911" t="s">
        <v>414</v>
      </c>
    </row>
    <row r="282" spans="1:5" x14ac:dyDescent="0.25">
      <c r="A282" s="912" t="s">
        <v>430</v>
      </c>
      <c r="B282" s="913">
        <v>1200</v>
      </c>
      <c r="C282" s="913"/>
      <c r="D282" s="913"/>
      <c r="E282" s="914">
        <f>SUM(B282:D282)</f>
        <v>1200</v>
      </c>
    </row>
    <row r="283" spans="1:5" x14ac:dyDescent="0.25">
      <c r="A283" s="901" t="s">
        <v>431</v>
      </c>
      <c r="B283">
        <v>264</v>
      </c>
      <c r="C283" s="893"/>
      <c r="D283" s="893"/>
      <c r="E283" s="894">
        <f>SUM(B283:D283)</f>
        <v>264</v>
      </c>
    </row>
    <row r="284" spans="1:5" x14ac:dyDescent="0.25">
      <c r="A284" s="892" t="s">
        <v>432</v>
      </c>
      <c r="B284" s="893">
        <v>3810</v>
      </c>
      <c r="C284" s="893"/>
      <c r="D284" s="893"/>
      <c r="E284" s="894">
        <f>SUM(B284:D284)</f>
        <v>3810</v>
      </c>
    </row>
    <row r="285" spans="1:5" x14ac:dyDescent="0.25">
      <c r="A285" s="892" t="s">
        <v>433</v>
      </c>
      <c r="B285" s="893"/>
      <c r="C285" s="893"/>
      <c r="D285" s="893"/>
      <c r="E285" s="914">
        <f>SUM(B285:D285)</f>
        <v>0</v>
      </c>
    </row>
    <row r="286" spans="1:5" x14ac:dyDescent="0.25">
      <c r="A286" s="902"/>
      <c r="B286" s="893"/>
      <c r="C286" s="893"/>
      <c r="D286" s="893"/>
      <c r="E286" s="894"/>
    </row>
    <row r="287" spans="1:5" x14ac:dyDescent="0.25">
      <c r="A287" s="902"/>
      <c r="B287" s="893"/>
      <c r="C287" s="893"/>
      <c r="D287" s="893"/>
      <c r="E287" s="894"/>
    </row>
    <row r="288" spans="1:5" ht="15.75" thickBot="1" x14ac:dyDescent="0.3">
      <c r="A288" s="895"/>
      <c r="B288" s="903"/>
      <c r="C288" s="903"/>
      <c r="D288" s="903"/>
      <c r="E288" s="904"/>
    </row>
    <row r="289" spans="1:5" ht="15.75" thickBot="1" x14ac:dyDescent="0.3">
      <c r="A289" s="897" t="s">
        <v>434</v>
      </c>
      <c r="B289" s="898">
        <f>SUM(B282:B288)</f>
        <v>5274</v>
      </c>
      <c r="C289" s="898">
        <f>SUM(C282:C288)</f>
        <v>0</v>
      </c>
      <c r="D289" s="898">
        <f>SUM(D282:D288)</f>
        <v>0</v>
      </c>
      <c r="E289" s="899">
        <f>SUM(E282:E288)</f>
        <v>5274</v>
      </c>
    </row>
    <row r="290" spans="1:5" ht="15.75" x14ac:dyDescent="0.3">
      <c r="A290" s="905"/>
      <c r="B290" s="905"/>
      <c r="C290" s="905"/>
      <c r="D290" s="905"/>
      <c r="E290" s="905"/>
    </row>
    <row r="291" spans="1:5" x14ac:dyDescent="0.25">
      <c r="A291" s="1002" t="s">
        <v>633</v>
      </c>
      <c r="B291" s="1002"/>
      <c r="C291" s="1002"/>
      <c r="D291" s="1002"/>
      <c r="E291" s="1002"/>
    </row>
    <row r="292" spans="1:5" ht="16.5" thickBot="1" x14ac:dyDescent="0.35">
      <c r="A292" s="905"/>
      <c r="B292" s="905"/>
      <c r="C292" s="905"/>
      <c r="D292" s="905"/>
      <c r="E292" s="905"/>
    </row>
    <row r="293" spans="1:5" ht="16.5" thickBot="1" x14ac:dyDescent="0.35">
      <c r="A293" s="1003" t="s">
        <v>435</v>
      </c>
      <c r="B293" s="1003"/>
      <c r="C293" s="1003"/>
      <c r="D293" s="1004" t="s">
        <v>436</v>
      </c>
      <c r="E293" s="1004"/>
    </row>
    <row r="294" spans="1:5" x14ac:dyDescent="0.25">
      <c r="A294" s="993"/>
      <c r="B294" s="993"/>
      <c r="C294" s="993"/>
      <c r="D294" s="994"/>
      <c r="E294" s="994"/>
    </row>
    <row r="295" spans="1:5" ht="15.75" thickBot="1" x14ac:dyDescent="0.3">
      <c r="A295" s="995"/>
      <c r="B295" s="995"/>
      <c r="C295" s="995"/>
      <c r="D295" s="996"/>
      <c r="E295" s="996"/>
    </row>
    <row r="296" spans="1:5" ht="16.5" thickBot="1" x14ac:dyDescent="0.35">
      <c r="A296" s="997" t="s">
        <v>434</v>
      </c>
      <c r="B296" s="997"/>
      <c r="C296" s="997"/>
      <c r="D296" s="998">
        <f>SUM(D294:E295)</f>
        <v>0</v>
      </c>
      <c r="E296" s="998"/>
    </row>
  </sheetData>
  <sheetProtection selectLockedCells="1" selectUnlockedCells="1"/>
  <mergeCells count="121">
    <mergeCell ref="A54:E54"/>
    <mergeCell ref="A2:E2"/>
    <mergeCell ref="A3:E3"/>
    <mergeCell ref="A24:E24"/>
    <mergeCell ref="A29:C29"/>
    <mergeCell ref="D29:E29"/>
    <mergeCell ref="A26:C26"/>
    <mergeCell ref="D26:E26"/>
    <mergeCell ref="A27:C27"/>
    <mergeCell ref="B4:D4"/>
    <mergeCell ref="D27:E27"/>
    <mergeCell ref="A28:C28"/>
    <mergeCell ref="D28:E28"/>
    <mergeCell ref="A32:E32"/>
    <mergeCell ref="A33:E33"/>
    <mergeCell ref="B34:D34"/>
    <mergeCell ref="A84:E84"/>
    <mergeCell ref="A56:C56"/>
    <mergeCell ref="D56:E56"/>
    <mergeCell ref="A57:C57"/>
    <mergeCell ref="D57:E57"/>
    <mergeCell ref="A58:C58"/>
    <mergeCell ref="D58:E58"/>
    <mergeCell ref="A59:C59"/>
    <mergeCell ref="D59:E59"/>
    <mergeCell ref="A62:E62"/>
    <mergeCell ref="A63:E63"/>
    <mergeCell ref="B64:D64"/>
    <mergeCell ref="A114:E114"/>
    <mergeCell ref="A86:C86"/>
    <mergeCell ref="D86:E86"/>
    <mergeCell ref="A87:C87"/>
    <mergeCell ref="D87:E87"/>
    <mergeCell ref="A88:C88"/>
    <mergeCell ref="D88:E88"/>
    <mergeCell ref="A89:C89"/>
    <mergeCell ref="D89:E89"/>
    <mergeCell ref="A92:E92"/>
    <mergeCell ref="A93:E93"/>
    <mergeCell ref="B94:D94"/>
    <mergeCell ref="A144:E144"/>
    <mergeCell ref="A116:C116"/>
    <mergeCell ref="D116:E116"/>
    <mergeCell ref="A117:C117"/>
    <mergeCell ref="D117:E117"/>
    <mergeCell ref="A118:C118"/>
    <mergeCell ref="D118:E118"/>
    <mergeCell ref="A119:C119"/>
    <mergeCell ref="D119:E119"/>
    <mergeCell ref="A122:E122"/>
    <mergeCell ref="A123:E123"/>
    <mergeCell ref="B124:D124"/>
    <mergeCell ref="A175:C175"/>
    <mergeCell ref="D175:E175"/>
    <mergeCell ref="A176:C176"/>
    <mergeCell ref="D176:E176"/>
    <mergeCell ref="A177:C177"/>
    <mergeCell ref="D177:E177"/>
    <mergeCell ref="A173:E173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51:E151"/>
    <mergeCell ref="A152:E152"/>
    <mergeCell ref="B153:D153"/>
    <mergeCell ref="A182:E182"/>
    <mergeCell ref="A181:E181"/>
    <mergeCell ref="D238:E238"/>
    <mergeCell ref="A238:C238"/>
    <mergeCell ref="D237:E237"/>
    <mergeCell ref="A237:C237"/>
    <mergeCell ref="D236:E236"/>
    <mergeCell ref="A236:C236"/>
    <mergeCell ref="A178:C178"/>
    <mergeCell ref="D178:E178"/>
    <mergeCell ref="D208:E208"/>
    <mergeCell ref="A208:C208"/>
    <mergeCell ref="D207:E207"/>
    <mergeCell ref="A207:C207"/>
    <mergeCell ref="D206:E206"/>
    <mergeCell ref="A206:C206"/>
    <mergeCell ref="D205:E205"/>
    <mergeCell ref="A205:C205"/>
    <mergeCell ref="D235:E235"/>
    <mergeCell ref="A235:C235"/>
    <mergeCell ref="A233:E233"/>
    <mergeCell ref="A212:E212"/>
    <mergeCell ref="A213:C213"/>
    <mergeCell ref="D213:E213"/>
    <mergeCell ref="A211:E211"/>
    <mergeCell ref="A203:E203"/>
    <mergeCell ref="B183:D183"/>
    <mergeCell ref="A265:C265"/>
    <mergeCell ref="D265:E265"/>
    <mergeCell ref="A266:C266"/>
    <mergeCell ref="D266:E266"/>
    <mergeCell ref="A267:C267"/>
    <mergeCell ref="D267:E267"/>
    <mergeCell ref="A240:E240"/>
    <mergeCell ref="A241:E241"/>
    <mergeCell ref="B242:D242"/>
    <mergeCell ref="A262:E262"/>
    <mergeCell ref="A264:C264"/>
    <mergeCell ref="D264:E264"/>
    <mergeCell ref="A294:C294"/>
    <mergeCell ref="D294:E294"/>
    <mergeCell ref="A295:C295"/>
    <mergeCell ref="D295:E295"/>
    <mergeCell ref="A296:C296"/>
    <mergeCell ref="D296:E296"/>
    <mergeCell ref="A269:E269"/>
    <mergeCell ref="A270:E270"/>
    <mergeCell ref="B271:D271"/>
    <mergeCell ref="A291:E291"/>
    <mergeCell ref="A293:C293"/>
    <mergeCell ref="D293:E293"/>
  </mergeCells>
  <conditionalFormatting sqref="B161:D161 E164:E171 B171:D171 D178:E178 E155:E161">
    <cfRule type="cellIs" dxfId="12" priority="8" stopIfTrue="1" operator="equal">
      <formula>0</formula>
    </cfRule>
  </conditionalFormatting>
  <conditionalFormatting sqref="B191:D191 E194:E201 B201:D201 D208:E208 E185:E191">
    <cfRule type="cellIs" dxfId="11" priority="7" stopIfTrue="1" operator="equal">
      <formula>0</formula>
    </cfRule>
  </conditionalFormatting>
  <conditionalFormatting sqref="D238:E238">
    <cfRule type="cellIs" dxfId="10" priority="6" stopIfTrue="1" operator="equal">
      <formula>0</formula>
    </cfRule>
  </conditionalFormatting>
  <conditionalFormatting sqref="B12:D12 E15:E22 B22:D22 D29:E30 E6:E12">
    <cfRule type="cellIs" dxfId="9" priority="13" stopIfTrue="1" operator="equal">
      <formula>0</formula>
    </cfRule>
  </conditionalFormatting>
  <conditionalFormatting sqref="B42:D42 E45:E52 B52:D52 D59:E59 E36:E42">
    <cfRule type="cellIs" dxfId="8" priority="12" stopIfTrue="1" operator="equal">
      <formula>0</formula>
    </cfRule>
  </conditionalFormatting>
  <conditionalFormatting sqref="B72:D72 E75:E82 B82:D82 D89:E90 E66:E72">
    <cfRule type="cellIs" dxfId="7" priority="11" stopIfTrue="1" operator="equal">
      <formula>0</formula>
    </cfRule>
  </conditionalFormatting>
  <conditionalFormatting sqref="B102:D102 E105:E112 B112:D112 D119:E120 E96:E102">
    <cfRule type="cellIs" dxfId="6" priority="10" stopIfTrue="1" operator="equal">
      <formula>0</formula>
    </cfRule>
  </conditionalFormatting>
  <conditionalFormatting sqref="B132:D132 E135:E142 B142:D142 D149:E149 E126:E132">
    <cfRule type="cellIs" dxfId="5" priority="9" stopIfTrue="1" operator="equal">
      <formula>0</formula>
    </cfRule>
  </conditionalFormatting>
  <conditionalFormatting sqref="E215:E220 B221:E221 E224:E230 B231:E231">
    <cfRule type="cellIs" dxfId="4" priority="5" stopIfTrue="1" operator="equal">
      <formula>0</formula>
    </cfRule>
  </conditionalFormatting>
  <conditionalFormatting sqref="E244:E249 B250:E250 E253:E259 B260:E260 D267">
    <cfRule type="cellIs" dxfId="3" priority="4" stopIfTrue="1" operator="equal">
      <formula>0</formula>
    </cfRule>
  </conditionalFormatting>
  <conditionalFormatting sqref="E282:E288">
    <cfRule type="cellIs" dxfId="2" priority="3" stopIfTrue="1" operator="equal">
      <formula>0</formula>
    </cfRule>
  </conditionalFormatting>
  <conditionalFormatting sqref="B279:E279 B289:E289 D296 E274:E278">
    <cfRule type="cellIs" dxfId="1" priority="2" stopIfTrue="1" operator="equal">
      <formula>0</formula>
    </cfRule>
  </conditionalFormatting>
  <conditionalFormatting sqref="E273">
    <cfRule type="cellIs" dxfId="0" priority="1" stopIfTrue="1" operator="equal">
      <formula>0</formula>
    </cfRule>
  </conditionalFormatting>
  <pageMargins left="0.7" right="0.7" top="0.75" bottom="0.75" header="0.51180555555555551" footer="0.51180555555555551"/>
  <pageSetup paperSize="9" scale="96" firstPageNumber="0" fitToHeight="0" orientation="portrait" r:id="rId1"/>
  <headerFooter alignWithMargins="0"/>
  <rowBreaks count="9" manualBreakCount="9">
    <brk id="30" max="16383" man="1"/>
    <brk id="60" max="4" man="1"/>
    <brk id="90" max="4" man="1"/>
    <brk id="120" max="4" man="1"/>
    <brk id="149" max="4" man="1"/>
    <brk id="179" max="4" man="1"/>
    <brk id="209" max="4" man="1"/>
    <brk id="238" max="16383" man="1"/>
    <brk id="2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view="pageBreakPreview" zoomScaleSheetLayoutView="100" workbookViewId="0">
      <selection sqref="A1:C1"/>
    </sheetView>
  </sheetViews>
  <sheetFormatPr defaultRowHeight="15" x14ac:dyDescent="0.3"/>
  <cols>
    <col min="1" max="2" width="4" style="122" customWidth="1"/>
    <col min="3" max="3" width="50.5703125" style="123" customWidth="1"/>
    <col min="4" max="4" width="5.5703125" style="124" customWidth="1"/>
    <col min="5" max="6" width="15.5703125" style="125" customWidth="1"/>
    <col min="7" max="7" width="15.5703125" style="126" customWidth="1"/>
    <col min="8" max="8" width="15.5703125" style="125" customWidth="1"/>
    <col min="9" max="9" width="15.5703125" style="127" customWidth="1"/>
    <col min="10" max="16384" width="9.140625" style="127"/>
  </cols>
  <sheetData>
    <row r="1" spans="1:9" s="128" customFormat="1" ht="21.95" customHeight="1" x14ac:dyDescent="0.25">
      <c r="A1" s="1021" t="s">
        <v>727</v>
      </c>
      <c r="B1" s="1021"/>
      <c r="C1" s="1021"/>
      <c r="D1" s="129"/>
      <c r="E1" s="129"/>
      <c r="F1" s="130"/>
      <c r="G1" s="131"/>
      <c r="H1" s="130"/>
    </row>
    <row r="2" spans="1:9" x14ac:dyDescent="0.3">
      <c r="A2" s="1022" t="s">
        <v>4</v>
      </c>
      <c r="B2" s="1022"/>
      <c r="C2" s="1022"/>
      <c r="D2" s="1022"/>
      <c r="E2" s="1022"/>
      <c r="F2" s="1022"/>
      <c r="G2" s="1022"/>
      <c r="H2" s="1022"/>
    </row>
    <row r="3" spans="1:9" x14ac:dyDescent="0.3">
      <c r="A3" s="1023" t="s">
        <v>635</v>
      </c>
      <c r="B3" s="1023"/>
      <c r="C3" s="1023"/>
      <c r="D3" s="1023"/>
      <c r="E3" s="1023"/>
      <c r="F3" s="1023"/>
      <c r="G3" s="1023"/>
      <c r="H3" s="1023"/>
    </row>
    <row r="4" spans="1:9" s="63" customFormat="1" x14ac:dyDescent="0.3">
      <c r="A4" s="65" t="s">
        <v>259</v>
      </c>
      <c r="B4" s="66" t="s">
        <v>260</v>
      </c>
      <c r="C4" s="66" t="s">
        <v>261</v>
      </c>
      <c r="D4" s="132" t="s">
        <v>262</v>
      </c>
      <c r="E4" s="66" t="s">
        <v>263</v>
      </c>
      <c r="F4" s="66" t="s">
        <v>264</v>
      </c>
      <c r="G4" s="66" t="s">
        <v>265</v>
      </c>
      <c r="H4" s="66" t="s">
        <v>266</v>
      </c>
      <c r="I4" s="66" t="s">
        <v>267</v>
      </c>
    </row>
    <row r="5" spans="1:9" s="64" customFormat="1" ht="75" customHeight="1" x14ac:dyDescent="0.3">
      <c r="A5" s="67" t="s">
        <v>0</v>
      </c>
      <c r="B5" s="68" t="s">
        <v>1</v>
      </c>
      <c r="C5" s="69" t="s">
        <v>2</v>
      </c>
      <c r="D5" s="70" t="s">
        <v>404</v>
      </c>
      <c r="E5" s="133" t="s">
        <v>437</v>
      </c>
      <c r="F5" s="133" t="s">
        <v>438</v>
      </c>
      <c r="G5" s="133" t="s">
        <v>439</v>
      </c>
      <c r="H5" s="134" t="s">
        <v>440</v>
      </c>
      <c r="I5" s="135" t="s">
        <v>414</v>
      </c>
    </row>
    <row r="6" spans="1:9" s="64" customFormat="1" x14ac:dyDescent="0.3">
      <c r="A6" s="71"/>
      <c r="B6" s="72"/>
      <c r="C6" s="73" t="s">
        <v>441</v>
      </c>
      <c r="D6" s="74"/>
      <c r="E6" s="75"/>
      <c r="F6" s="75"/>
      <c r="G6" s="75"/>
      <c r="H6" s="136"/>
      <c r="I6" s="137"/>
    </row>
    <row r="7" spans="1:9" s="64" customFormat="1" ht="18" customHeight="1" x14ac:dyDescent="0.3">
      <c r="A7" s="76"/>
      <c r="B7" s="77"/>
      <c r="C7" s="78" t="s">
        <v>575</v>
      </c>
      <c r="D7" s="79"/>
      <c r="E7" s="80">
        <f>53367/1.27</f>
        <v>42021.259842519685</v>
      </c>
      <c r="F7" s="80"/>
      <c r="G7" s="80"/>
      <c r="H7" s="138">
        <f t="shared" ref="H7:H8" si="0">SUM(E7:G7)*0.27</f>
        <v>11345.740157480315</v>
      </c>
      <c r="I7" s="139">
        <f>SUM(E7:H7)</f>
        <v>53367</v>
      </c>
    </row>
    <row r="8" spans="1:9" s="64" customFormat="1" ht="18" customHeight="1" x14ac:dyDescent="0.3">
      <c r="A8" s="76"/>
      <c r="B8" s="77"/>
      <c r="C8" s="81" t="s">
        <v>576</v>
      </c>
      <c r="D8" s="82"/>
      <c r="E8" s="83">
        <f>28100/1.27</f>
        <v>22125.984251968504</v>
      </c>
      <c r="F8" s="84"/>
      <c r="G8" s="84"/>
      <c r="H8" s="138">
        <f t="shared" si="0"/>
        <v>5974.0157480314965</v>
      </c>
      <c r="I8" s="139">
        <f t="shared" ref="I8:I12" si="1">SUM(E8:H8)</f>
        <v>28100</v>
      </c>
    </row>
    <row r="9" spans="1:9" s="64" customFormat="1" ht="30" x14ac:dyDescent="0.3">
      <c r="A9" s="76"/>
      <c r="B9" s="77"/>
      <c r="C9" s="81" t="s">
        <v>652</v>
      </c>
      <c r="D9" s="79"/>
      <c r="E9" s="80">
        <f>2000000/1.27</f>
        <v>1574803.1496062991</v>
      </c>
      <c r="F9" s="80"/>
      <c r="G9" s="80"/>
      <c r="H9" s="138">
        <f>SUM(E9:G9)*0.27</f>
        <v>425196.85039370076</v>
      </c>
      <c r="I9" s="139">
        <f t="shared" si="1"/>
        <v>2000000</v>
      </c>
    </row>
    <row r="10" spans="1:9" s="64" customFormat="1" ht="18" customHeight="1" x14ac:dyDescent="0.3">
      <c r="A10" s="76"/>
      <c r="B10" s="77"/>
      <c r="C10" s="78" t="s">
        <v>706</v>
      </c>
      <c r="D10" s="79"/>
      <c r="E10" s="80">
        <f>10896/1.27</f>
        <v>8579.5275590551173</v>
      </c>
      <c r="F10" s="80"/>
      <c r="G10" s="80"/>
      <c r="H10" s="138">
        <f>SUM(E10:G10)*0.27</f>
        <v>2316.4724409448818</v>
      </c>
      <c r="I10" s="139">
        <f t="shared" si="1"/>
        <v>10896</v>
      </c>
    </row>
    <row r="11" spans="1:9" s="64" customFormat="1" ht="18" customHeight="1" x14ac:dyDescent="0.3">
      <c r="A11" s="76"/>
      <c r="B11" s="77"/>
      <c r="C11" s="78" t="s">
        <v>707</v>
      </c>
      <c r="D11" s="79"/>
      <c r="E11" s="80">
        <f>236884/1.27</f>
        <v>186522.8346456693</v>
      </c>
      <c r="F11" s="80"/>
      <c r="G11" s="80"/>
      <c r="H11" s="138">
        <f>SUM(E11:G11)*0.27</f>
        <v>50361.165354330711</v>
      </c>
      <c r="I11" s="139">
        <f t="shared" si="1"/>
        <v>236884</v>
      </c>
    </row>
    <row r="12" spans="1:9" s="64" customFormat="1" ht="30" x14ac:dyDescent="0.3">
      <c r="A12" s="76"/>
      <c r="B12" s="77"/>
      <c r="C12" s="78" t="s">
        <v>654</v>
      </c>
      <c r="D12" s="79"/>
      <c r="E12" s="84">
        <f>29000/1.27</f>
        <v>22834.645669291338</v>
      </c>
      <c r="F12" s="84"/>
      <c r="G12" s="84"/>
      <c r="H12" s="138">
        <f>SUM(E12:G12)*0.27</f>
        <v>6165.354330708662</v>
      </c>
      <c r="I12" s="139">
        <f t="shared" si="1"/>
        <v>29000</v>
      </c>
    </row>
    <row r="13" spans="1:9" s="90" customFormat="1" ht="24" customHeight="1" x14ac:dyDescent="0.3">
      <c r="A13" s="85"/>
      <c r="B13" s="86"/>
      <c r="C13" s="87" t="s">
        <v>442</v>
      </c>
      <c r="D13" s="88"/>
      <c r="E13" s="89">
        <f>SUM(E7:E12)</f>
        <v>1856887.4015748028</v>
      </c>
      <c r="F13" s="89">
        <f>SUM(F7:F12)</f>
        <v>0</v>
      </c>
      <c r="G13" s="89">
        <f>SUM(G7:G12)</f>
        <v>0</v>
      </c>
      <c r="H13" s="140">
        <f>SUM(H7:H12)</f>
        <v>501359.59842519683</v>
      </c>
      <c r="I13" s="109">
        <f>SUM(E13:H13)</f>
        <v>2358246.9999999995</v>
      </c>
    </row>
    <row r="14" spans="1:9" s="98" customFormat="1" ht="18" customHeight="1" x14ac:dyDescent="0.3">
      <c r="A14" s="91"/>
      <c r="B14" s="92"/>
      <c r="C14" s="93" t="s">
        <v>443</v>
      </c>
      <c r="D14" s="94"/>
      <c r="E14" s="95"/>
      <c r="F14" s="95"/>
      <c r="G14" s="95"/>
      <c r="H14" s="96"/>
      <c r="I14" s="97"/>
    </row>
    <row r="15" spans="1:9" s="64" customFormat="1" ht="18" customHeight="1" x14ac:dyDescent="0.3">
      <c r="A15" s="76"/>
      <c r="B15" s="77"/>
      <c r="C15" s="99"/>
      <c r="D15" s="100"/>
      <c r="E15" s="84">
        <v>0</v>
      </c>
      <c r="F15" s="84">
        <v>0</v>
      </c>
      <c r="G15" s="84">
        <v>0</v>
      </c>
      <c r="H15" s="101">
        <v>0</v>
      </c>
      <c r="I15" s="102">
        <f>SUM(E15:H15)</f>
        <v>0</v>
      </c>
    </row>
    <row r="16" spans="1:9" s="104" customFormat="1" ht="18" customHeight="1" x14ac:dyDescent="0.3">
      <c r="A16" s="76"/>
      <c r="B16" s="77"/>
      <c r="C16" s="103"/>
      <c r="D16" s="79"/>
      <c r="E16" s="84"/>
      <c r="F16" s="84"/>
      <c r="G16" s="84"/>
      <c r="H16" s="101"/>
      <c r="I16" s="102"/>
    </row>
    <row r="17" spans="1:9" s="64" customFormat="1" ht="18" customHeight="1" x14ac:dyDescent="0.3">
      <c r="A17" s="76"/>
      <c r="B17" s="77"/>
      <c r="C17" s="105"/>
      <c r="D17" s="106"/>
      <c r="E17" s="106"/>
      <c r="F17" s="106"/>
      <c r="G17" s="107"/>
      <c r="H17" s="107"/>
      <c r="I17" s="108"/>
    </row>
    <row r="18" spans="1:9" s="90" customFormat="1" ht="24" customHeight="1" x14ac:dyDescent="0.3">
      <c r="A18" s="85"/>
      <c r="B18" s="86"/>
      <c r="C18" s="87" t="s">
        <v>444</v>
      </c>
      <c r="D18" s="88"/>
      <c r="E18" s="89">
        <f>SUM(E15:E17)</f>
        <v>0</v>
      </c>
      <c r="F18" s="89">
        <f>SUM(F15:F17)</f>
        <v>0</v>
      </c>
      <c r="G18" s="89">
        <f>SUM(G15:G17)</f>
        <v>0</v>
      </c>
      <c r="H18" s="140">
        <f>SUM(H15:H17)</f>
        <v>0</v>
      </c>
      <c r="I18" s="109">
        <f>SUM(I15:I17)</f>
        <v>0</v>
      </c>
    </row>
    <row r="19" spans="1:9" s="90" customFormat="1" ht="24" customHeight="1" x14ac:dyDescent="0.3">
      <c r="A19" s="110"/>
      <c r="B19" s="111"/>
      <c r="C19" s="112" t="s">
        <v>445</v>
      </c>
      <c r="D19" s="113"/>
      <c r="E19" s="114">
        <f>E13+E18</f>
        <v>1856887.4015748028</v>
      </c>
      <c r="F19" s="114">
        <f>F13+F18</f>
        <v>0</v>
      </c>
      <c r="G19" s="114">
        <f>G13+G18</f>
        <v>0</v>
      </c>
      <c r="H19" s="115">
        <f>H13+H18</f>
        <v>501359.59842519683</v>
      </c>
      <c r="I19" s="116">
        <f>I13+I18</f>
        <v>2358246.9999999995</v>
      </c>
    </row>
    <row r="21" spans="1:9" ht="30" customHeight="1" x14ac:dyDescent="0.3"/>
    <row r="24" spans="1:9" ht="20.100000000000001" customHeight="1" x14ac:dyDescent="0.3"/>
    <row r="26" spans="1:9" ht="20.100000000000001" customHeight="1" x14ac:dyDescent="0.3"/>
    <row r="28" spans="1:9" ht="20.100000000000001" customHeight="1" x14ac:dyDescent="0.3"/>
    <row r="30" spans="1:9" ht="20.100000000000001" customHeight="1" x14ac:dyDescent="0.3"/>
    <row r="32" spans="1:9" ht="20.100000000000001" customHeight="1" x14ac:dyDescent="0.3">
      <c r="A32" s="127"/>
      <c r="B32" s="127"/>
      <c r="C32" s="127"/>
      <c r="D32" s="127"/>
      <c r="E32" s="127"/>
      <c r="F32" s="127"/>
      <c r="G32" s="127"/>
      <c r="H32" s="127"/>
    </row>
    <row r="34" spans="1:8" ht="20.100000000000001" customHeight="1" x14ac:dyDescent="0.3">
      <c r="A34" s="127"/>
      <c r="B34" s="127"/>
      <c r="C34" s="127"/>
      <c r="D34" s="127"/>
      <c r="E34" s="127"/>
      <c r="F34" s="127"/>
      <c r="G34" s="127"/>
      <c r="H34" s="127"/>
    </row>
    <row r="37" spans="1:8" ht="20.100000000000001" customHeight="1" x14ac:dyDescent="0.3">
      <c r="A37" s="127"/>
      <c r="B37" s="127"/>
      <c r="C37" s="127"/>
      <c r="D37" s="127"/>
      <c r="E37" s="127"/>
      <c r="F37" s="127"/>
      <c r="G37" s="127"/>
      <c r="H37" s="127"/>
    </row>
    <row r="39" spans="1:8" ht="20.100000000000001" customHeight="1" x14ac:dyDescent="0.3">
      <c r="A39" s="127"/>
      <c r="B39" s="127"/>
      <c r="C39" s="127"/>
      <c r="D39" s="127"/>
      <c r="E39" s="127"/>
      <c r="F39" s="127"/>
      <c r="G39" s="127"/>
      <c r="H39" s="127"/>
    </row>
    <row r="41" spans="1:8" ht="20.100000000000001" customHeight="1" x14ac:dyDescent="0.3">
      <c r="A41" s="127"/>
      <c r="B41" s="127"/>
      <c r="C41" s="127"/>
      <c r="D41" s="127"/>
      <c r="E41" s="127"/>
      <c r="F41" s="127"/>
      <c r="G41" s="127"/>
      <c r="H41" s="127"/>
    </row>
    <row r="42" spans="1:8" ht="20.100000000000001" customHeight="1" x14ac:dyDescent="0.3">
      <c r="A42" s="127"/>
      <c r="B42" s="127"/>
      <c r="C42" s="127"/>
      <c r="D42" s="127"/>
      <c r="E42" s="127"/>
      <c r="F42" s="127"/>
      <c r="G42" s="127"/>
      <c r="H42" s="127"/>
    </row>
    <row r="44" spans="1:8" ht="20.100000000000001" customHeight="1" x14ac:dyDescent="0.3">
      <c r="A44" s="127"/>
      <c r="B44" s="127"/>
      <c r="C44" s="127"/>
      <c r="D44" s="127"/>
      <c r="E44" s="127"/>
      <c r="F44" s="127"/>
      <c r="G44" s="127"/>
      <c r="H44" s="127"/>
    </row>
    <row r="47" spans="1:8" ht="20.100000000000001" customHeight="1" x14ac:dyDescent="0.3">
      <c r="A47" s="127"/>
      <c r="B47" s="127"/>
      <c r="C47" s="127"/>
      <c r="D47" s="127"/>
      <c r="E47" s="127"/>
      <c r="F47" s="127"/>
      <c r="G47" s="127"/>
      <c r="H47" s="127"/>
    </row>
    <row r="49" spans="1:8" ht="20.100000000000001" customHeight="1" x14ac:dyDescent="0.3">
      <c r="A49" s="127"/>
      <c r="B49" s="127"/>
      <c r="C49" s="127"/>
      <c r="D49" s="127"/>
      <c r="E49" s="127"/>
      <c r="F49" s="127"/>
      <c r="G49" s="127"/>
      <c r="H49" s="127"/>
    </row>
    <row r="51" spans="1:8" ht="20.100000000000001" customHeight="1" x14ac:dyDescent="0.3">
      <c r="A51" s="127"/>
      <c r="B51" s="127"/>
      <c r="C51" s="127"/>
      <c r="D51" s="127"/>
      <c r="E51" s="127"/>
      <c r="F51" s="127"/>
      <c r="G51" s="127"/>
      <c r="H51" s="127"/>
    </row>
    <row r="53" spans="1:8" ht="20.100000000000001" customHeight="1" x14ac:dyDescent="0.3">
      <c r="A53" s="127"/>
      <c r="B53" s="127"/>
      <c r="C53" s="127"/>
      <c r="D53" s="127"/>
      <c r="E53" s="127"/>
      <c r="F53" s="127"/>
      <c r="G53" s="127"/>
      <c r="H53" s="127"/>
    </row>
    <row r="55" spans="1:8" ht="20.100000000000001" customHeight="1" x14ac:dyDescent="0.3">
      <c r="A55" s="127"/>
      <c r="B55" s="127"/>
      <c r="C55" s="127"/>
      <c r="D55" s="127"/>
      <c r="E55" s="127"/>
      <c r="F55" s="127"/>
      <c r="G55" s="127"/>
      <c r="H55" s="127"/>
    </row>
    <row r="58" spans="1:8" ht="20.100000000000001" customHeight="1" x14ac:dyDescent="0.3">
      <c r="A58" s="127"/>
      <c r="B58" s="127"/>
      <c r="C58" s="127"/>
      <c r="D58" s="127"/>
      <c r="E58" s="127"/>
      <c r="F58" s="127"/>
      <c r="G58" s="127"/>
      <c r="H58" s="127"/>
    </row>
    <row r="60" spans="1:8" ht="20.100000000000001" customHeight="1" x14ac:dyDescent="0.3">
      <c r="A60" s="127"/>
      <c r="B60" s="127"/>
      <c r="C60" s="127"/>
      <c r="D60" s="127"/>
      <c r="E60" s="127"/>
      <c r="F60" s="127"/>
      <c r="G60" s="127"/>
      <c r="H60" s="127"/>
    </row>
    <row r="63" spans="1:8" ht="20.100000000000001" customHeight="1" x14ac:dyDescent="0.3">
      <c r="A63" s="127"/>
      <c r="B63" s="127"/>
      <c r="C63" s="127"/>
      <c r="D63" s="127"/>
      <c r="E63" s="127"/>
      <c r="F63" s="127"/>
      <c r="G63" s="127"/>
      <c r="H63" s="127"/>
    </row>
    <row r="67" spans="1:8" ht="20.100000000000001" customHeight="1" x14ac:dyDescent="0.3">
      <c r="A67" s="127"/>
      <c r="B67" s="127"/>
      <c r="C67" s="127"/>
      <c r="D67" s="127"/>
      <c r="E67" s="127"/>
      <c r="F67" s="127"/>
      <c r="G67" s="127"/>
      <c r="H67" s="127"/>
    </row>
    <row r="69" spans="1:8" ht="20.100000000000001" customHeight="1" x14ac:dyDescent="0.3">
      <c r="A69" s="127"/>
      <c r="B69" s="127"/>
      <c r="C69" s="127"/>
      <c r="D69" s="127"/>
      <c r="E69" s="127"/>
      <c r="F69" s="127"/>
      <c r="G69" s="127"/>
      <c r="H69" s="127"/>
    </row>
    <row r="71" spans="1:8" ht="20.100000000000001" customHeight="1" x14ac:dyDescent="0.3">
      <c r="A71" s="127"/>
      <c r="B71" s="127"/>
      <c r="C71" s="127"/>
      <c r="D71" s="127"/>
      <c r="E71" s="127"/>
      <c r="F71" s="127"/>
      <c r="G71" s="127"/>
      <c r="H71" s="127"/>
    </row>
    <row r="73" spans="1:8" ht="20.100000000000001" customHeight="1" x14ac:dyDescent="0.3">
      <c r="A73" s="127"/>
      <c r="B73" s="127"/>
      <c r="C73" s="127"/>
      <c r="D73" s="127"/>
      <c r="E73" s="127"/>
      <c r="F73" s="127"/>
      <c r="G73" s="127"/>
      <c r="H73" s="127"/>
    </row>
    <row r="74" spans="1:8" ht="15" customHeight="1" x14ac:dyDescent="0.3">
      <c r="A74" s="127"/>
      <c r="B74" s="127"/>
      <c r="C74" s="127"/>
      <c r="D74" s="127"/>
      <c r="E74" s="127"/>
      <c r="F74" s="127"/>
      <c r="G74" s="127"/>
      <c r="H74" s="127"/>
    </row>
    <row r="75" spans="1:8" ht="20.100000000000001" customHeight="1" x14ac:dyDescent="0.3">
      <c r="A75" s="127"/>
      <c r="B75" s="127"/>
      <c r="C75" s="127"/>
      <c r="D75" s="127"/>
      <c r="E75" s="127"/>
      <c r="F75" s="127"/>
      <c r="G75" s="127"/>
      <c r="H75" s="127"/>
    </row>
    <row r="77" spans="1:8" ht="20.100000000000001" customHeight="1" x14ac:dyDescent="0.3">
      <c r="A77" s="127"/>
      <c r="B77" s="127"/>
      <c r="C77" s="127"/>
      <c r="D77" s="127"/>
      <c r="E77" s="127"/>
      <c r="F77" s="127"/>
      <c r="G77" s="127"/>
      <c r="H77" s="127"/>
    </row>
    <row r="79" spans="1:8" ht="20.100000000000001" customHeight="1" x14ac:dyDescent="0.3">
      <c r="A79" s="127"/>
      <c r="B79" s="127"/>
      <c r="C79" s="127"/>
      <c r="D79" s="127"/>
      <c r="E79" s="127"/>
      <c r="F79" s="127"/>
      <c r="G79" s="127"/>
      <c r="H79" s="127"/>
    </row>
    <row r="81" spans="1:8" ht="20.100000000000001" customHeight="1" x14ac:dyDescent="0.3">
      <c r="A81" s="127"/>
      <c r="B81" s="127"/>
      <c r="C81" s="127"/>
      <c r="D81" s="127"/>
      <c r="E81" s="127"/>
      <c r="F81" s="127"/>
      <c r="G81" s="127"/>
      <c r="H81" s="127"/>
    </row>
    <row r="82" spans="1:8" ht="20.100000000000001" customHeight="1" x14ac:dyDescent="0.3">
      <c r="A82" s="127"/>
      <c r="B82" s="127"/>
      <c r="C82" s="127"/>
      <c r="D82" s="127"/>
      <c r="E82" s="127"/>
      <c r="F82" s="127"/>
      <c r="G82" s="127"/>
      <c r="H82" s="127"/>
    </row>
    <row r="84" spans="1:8" ht="20.100000000000001" customHeight="1" x14ac:dyDescent="0.3">
      <c r="A84" s="127"/>
      <c r="B84" s="127"/>
      <c r="C84" s="127"/>
      <c r="D84" s="127"/>
      <c r="E84" s="127"/>
      <c r="F84" s="127"/>
      <c r="G84" s="127"/>
      <c r="H84" s="127"/>
    </row>
    <row r="86" spans="1:8" ht="30" customHeight="1" x14ac:dyDescent="0.3">
      <c r="A86" s="127"/>
      <c r="B86" s="127"/>
      <c r="C86" s="127"/>
      <c r="D86" s="127"/>
      <c r="E86" s="127"/>
      <c r="F86" s="127"/>
      <c r="G86" s="127"/>
      <c r="H86" s="127"/>
    </row>
    <row r="87" spans="1:8" ht="30" customHeight="1" x14ac:dyDescent="0.3">
      <c r="A87" s="127"/>
      <c r="B87" s="127"/>
      <c r="C87" s="127"/>
      <c r="D87" s="127"/>
      <c r="E87" s="127"/>
      <c r="F87" s="127"/>
      <c r="G87" s="127"/>
      <c r="H87" s="127"/>
    </row>
    <row r="88" spans="1:8" ht="30" customHeight="1" x14ac:dyDescent="0.3">
      <c r="A88" s="127"/>
      <c r="B88" s="127"/>
      <c r="C88" s="127"/>
      <c r="D88" s="127"/>
      <c r="E88" s="127"/>
      <c r="F88" s="127"/>
      <c r="G88" s="127"/>
      <c r="H88" s="127"/>
    </row>
  </sheetData>
  <sheetProtection selectLockedCells="1" selectUnlockedCells="1"/>
  <mergeCells count="3">
    <mergeCell ref="A1:C1"/>
    <mergeCell ref="A2:H2"/>
    <mergeCell ref="A3:H3"/>
  </mergeCells>
  <printOptions horizontalCentered="1"/>
  <pageMargins left="0.2361111111111111" right="0.2361111111111111" top="0.74791666666666667" bottom="0.74791666666666667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17</vt:i4>
      </vt:variant>
    </vt:vector>
  </HeadingPairs>
  <TitlesOfParts>
    <vt:vector size="34" baseType="lpstr">
      <vt:lpstr>Címrend</vt:lpstr>
      <vt:lpstr>1. Bevételek_kiadások_összesen</vt:lpstr>
      <vt:lpstr>2. Önk.bev.</vt:lpstr>
      <vt:lpstr>3. Önk.kiad.</vt:lpstr>
      <vt:lpstr>4. Int.bev.</vt:lpstr>
      <vt:lpstr>5. Int.kiad.</vt:lpstr>
      <vt:lpstr>6. Beruházás</vt:lpstr>
      <vt:lpstr>7. EU-s beruh.</vt:lpstr>
      <vt:lpstr>8. Felújítás</vt:lpstr>
      <vt:lpstr>9. Mérleg</vt:lpstr>
      <vt:lpstr>10. Többéves</vt:lpstr>
      <vt:lpstr>11. Közvetett támogatások</vt:lpstr>
      <vt:lpstr>12. Hitel</vt:lpstr>
      <vt:lpstr>13. AKÜ</vt:lpstr>
      <vt:lpstr>14. AKÜ</vt:lpstr>
      <vt:lpstr>15. AKÜ</vt:lpstr>
      <vt:lpstr>16. Előir.felh.ütemt.</vt:lpstr>
      <vt:lpstr>'10. Többéves'!Nyomtatási_cím</vt:lpstr>
      <vt:lpstr>'3. Önk.kiad.'!Nyomtatási_cím</vt:lpstr>
      <vt:lpstr>'6. Beruházás'!Nyomtatási_cím</vt:lpstr>
      <vt:lpstr>'8. Felújítás'!Nyomtatási_cím</vt:lpstr>
      <vt:lpstr>'1. Bevételek_kiadások_összesen'!Nyomtatási_terület</vt:lpstr>
      <vt:lpstr>'10. Többéves'!Nyomtatási_terület</vt:lpstr>
      <vt:lpstr>'14. AKÜ'!Nyomtatási_terület</vt:lpstr>
      <vt:lpstr>'15. AKÜ'!Nyomtatási_terület</vt:lpstr>
      <vt:lpstr>'16. Előir.felh.ütemt.'!Nyomtatási_terület</vt:lpstr>
      <vt:lpstr>'2. Önk.bev.'!Nyomtatási_terület</vt:lpstr>
      <vt:lpstr>'3. Önk.kiad.'!Nyomtatási_terület</vt:lpstr>
      <vt:lpstr>'4. Int.bev.'!Nyomtatási_terület</vt:lpstr>
      <vt:lpstr>'5. Int.kiad.'!Nyomtatási_terület</vt:lpstr>
      <vt:lpstr>'6. Beruházás'!Nyomtatási_terület</vt:lpstr>
      <vt:lpstr>'7. EU-s beruh.'!Nyomtatási_terület</vt:lpstr>
      <vt:lpstr>'8. Felújítás'!Nyomtatási_terület</vt:lpstr>
      <vt:lpstr>'9. Mérleg'!Nyomtatási_terület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Mónika</dc:creator>
  <cp:lastModifiedBy>Bérczes Beáta</cp:lastModifiedBy>
  <cp:lastPrinted>2019-03-01T10:53:58Z</cp:lastPrinted>
  <dcterms:created xsi:type="dcterms:W3CDTF">2016-02-09T13:32:37Z</dcterms:created>
  <dcterms:modified xsi:type="dcterms:W3CDTF">2019-03-01T11:16:27Z</dcterms:modified>
</cp:coreProperties>
</file>